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s.schmutz\Documents\Bach\1-Inhalte-bach\4-Pflanzenbau\3-Ackerbau\6-Koernerleguminosen\2019-03-07-Biosoja-Produktionskosten\"/>
    </mc:Choice>
  </mc:AlternateContent>
  <bookViews>
    <workbookView xWindow="0" yWindow="0" windowWidth="28800" windowHeight="11970" activeTab="1"/>
  </bookViews>
  <sheets>
    <sheet name="Einleitung" sheetId="14" r:id="rId1"/>
    <sheet name="Annahmen" sheetId="13" r:id="rId2"/>
    <sheet name="Berechnungen" sheetId="9" r:id="rId3"/>
    <sheet name="Anhang Maschinen &amp; Arbeiten" sheetId="12" r:id="rId4"/>
    <sheet name="Q" sheetId="3" state="hidden" r:id="rId5"/>
  </sheets>
  <externalReferences>
    <externalReference r:id="rId6"/>
  </externalReferences>
  <definedNames>
    <definedName name="Assur." localSheetId="3">#REF!</definedName>
    <definedName name="Assur." localSheetId="1">#REF!</definedName>
    <definedName name="Assur." localSheetId="2">#REF!</definedName>
    <definedName name="Assur.">#REF!</definedName>
    <definedName name="Assur.2" localSheetId="3">#REF!</definedName>
    <definedName name="Assur.2" localSheetId="1">#REF!</definedName>
    <definedName name="Assur.2" localSheetId="2">#REF!</definedName>
    <definedName name="Assur.2">#REF!</definedName>
    <definedName name="Benzinpreis" localSheetId="3">#REF!</definedName>
    <definedName name="Benzinpreis" localSheetId="1">#REF!</definedName>
    <definedName name="Benzinpreis" localSheetId="2">#REF!</definedName>
    <definedName name="Benzinpreis">#REF!</definedName>
    <definedName name="BesitzMieteDritte">Q!$A$15:$A$17</definedName>
    <definedName name="Cacorr" localSheetId="3">#REF!</definedName>
    <definedName name="Cacorr" localSheetId="1">#REF!</definedName>
    <definedName name="Cacorr" localSheetId="2">#REF!</definedName>
    <definedName name="Cacorr">#REF!</definedName>
    <definedName name="Clcorr" localSheetId="3">#REF!</definedName>
    <definedName name="Clcorr" localSheetId="1">#REF!</definedName>
    <definedName name="Clcorr" localSheetId="2">#REF!</definedName>
    <definedName name="Clcorr">#REF!</definedName>
    <definedName name="colAkhEM" localSheetId="3">'Anhang Maschinen &amp; Arbeiten'!$I:$I</definedName>
    <definedName name="colAkhL" localSheetId="3">'Anhang Maschinen &amp; Arbeiten'!$N:$N</definedName>
    <definedName name="colArbeitsart" localSheetId="3">'Anhang Maschinen &amp; Arbeiten'!$P:$P</definedName>
    <definedName name="colD1" localSheetId="3">'Anhang Maschinen &amp; Arbeiten'!$B:$C</definedName>
    <definedName name="colEinheitD" localSheetId="3">'Anhang Maschinen &amp; Arbeiten'!$C:$C</definedName>
    <definedName name="colEinheitF" localSheetId="3">'Anhang Maschinen &amp; Arbeiten'!$E:$E</definedName>
    <definedName name="colF1" localSheetId="3">'Anhang Maschinen &amp; Arbeiten'!$D:$E</definedName>
    <definedName name="colKostenL" localSheetId="3">'Anhang Maschinen &amp; Arbeiten'!$L:$L</definedName>
    <definedName name="colKostenM" localSheetId="3">'Anhang Maschinen &amp; Arbeiten'!$K:$K</definedName>
    <definedName name="colNameD" localSheetId="3">'Anhang Maschinen &amp; Arbeiten'!$B:$B</definedName>
    <definedName name="colNameF" localSheetId="3">'Anhang Maschinen &amp; Arbeiten'!$D:$D</definedName>
    <definedName name="colNummer" localSheetId="3">'Anhang Maschinen &amp; Arbeiten'!$A:$A</definedName>
    <definedName name="colThEM" localSheetId="3">'Anhang Maschinen &amp; Arbeiten'!$G:$G</definedName>
    <definedName name="colThL" localSheetId="3">'Anhang Maschinen &amp; Arbeiten'!$O:$O</definedName>
    <definedName name="colTraktor" localSheetId="3">'Anhang Maschinen &amp; Arbeiten'!#REF!</definedName>
    <definedName name="colVariableKostenGeräteE" localSheetId="3">'Anhang Maschinen &amp; Arbeiten'!$J:$J</definedName>
    <definedName name="colVariableKostenZugkraftEM" localSheetId="3">'Anhang Maschinen &amp; Arbeiten'!$H:$H</definedName>
    <definedName name="colVariableKostenZugkraftL" localSheetId="3">'Anhang Maschinen &amp; Arbeiten'!$M:$M</definedName>
    <definedName name="Dieselpreis" localSheetId="3">#REF!</definedName>
    <definedName name="Dieselpreis" localSheetId="1">#REF!</definedName>
    <definedName name="Dieselpreis" localSheetId="2">#REF!</definedName>
    <definedName name="Dieselpreis">#REF!</definedName>
    <definedName name="_xlnm.Print_Area" localSheetId="3">'Anhang Maschinen &amp; Arbeiten'!$D$4:$L$80</definedName>
    <definedName name="_xlnm.Print_Area" localSheetId="1">Annahmen!$A$1:$Z$39</definedName>
    <definedName name="_xlnm.Print_Area" localSheetId="2">Berechnungen!$A$1:$M$53</definedName>
    <definedName name="_xlnm.Print_Area" localSheetId="0">Einleitung!#REF!</definedName>
    <definedName name="_xlnm.Print_Titles" localSheetId="3">'Anhang Maschinen &amp; Arbeiten'!$5:$5</definedName>
    <definedName name="entretien">#REF!</definedName>
    <definedName name="entretien_fumure">'Anhang Maschinen &amp; Arbeiten'!$D$22:$D$34</definedName>
    <definedName name="GPS">Q!$B$6:$B$7</definedName>
    <definedName name="hAnsatzLohnarbeit" localSheetId="3">'Anhang Maschinen &amp; Arbeiten'!#REF!</definedName>
    <definedName name="ID">"nicht identifiziert"</definedName>
    <definedName name="Index" localSheetId="3">'Anhang Maschinen &amp; Arbeiten'!#REF!</definedName>
    <definedName name="KCl" localSheetId="3">#REF!</definedName>
    <definedName name="KCl" localSheetId="1">#REF!</definedName>
    <definedName name="KCl" localSheetId="2">#REF!</definedName>
    <definedName name="KCl">#REF!</definedName>
    <definedName name="Kcorr" localSheetId="3">#REF!</definedName>
    <definedName name="Kcorr" localSheetId="1">#REF!</definedName>
    <definedName name="Kcorr" localSheetId="2">#REF!</definedName>
    <definedName name="Kcorr">#REF!</definedName>
    <definedName name="main_doeuvre">Q!$A$11:$A$12</definedName>
    <definedName name="Mgcorr" localSheetId="3">#REF!</definedName>
    <definedName name="Mgcorr" localSheetId="1">#REF!</definedName>
    <definedName name="Mgcorr" localSheetId="2">#REF!</definedName>
    <definedName name="Mgcorr">#REF!</definedName>
    <definedName name="Ncorr" localSheetId="3">#REF!</definedName>
    <definedName name="Ncorr" localSheetId="1">#REF!</definedName>
    <definedName name="Ncorr" localSheetId="2">#REF!</definedName>
    <definedName name="Ncorr">#REF!</definedName>
    <definedName name="Pcorr" localSheetId="3">#REF!</definedName>
    <definedName name="Pcorr" localSheetId="1">#REF!</definedName>
    <definedName name="Pcorr" localSheetId="2">#REF!</definedName>
    <definedName name="Pcorr">#REF!</definedName>
    <definedName name="propriété">Q!#REF!</definedName>
    <definedName name="récolte">'Anhang Maschinen &amp; Arbeiten'!$D$36:$D$43</definedName>
    <definedName name="Reparaturkostenfaktoranteil" localSheetId="3">#REF!</definedName>
    <definedName name="Reparaturkostenfaktoranteil" localSheetId="1">#REF!</definedName>
    <definedName name="Reparaturkostenfaktoranteil" localSheetId="2">#REF!</definedName>
    <definedName name="Reparaturkostenfaktoranteil">#REF!</definedName>
    <definedName name="rngErklärungenD" localSheetId="3">'Anhang Maschinen &amp; Arbeiten'!#REF!</definedName>
    <definedName name="rngErklärungenF" localSheetId="3">'Anhang Maschinen &amp; Arbeiten'!$66:$82</definedName>
    <definedName name="rngTitelD" localSheetId="3">'Anhang Maschinen &amp; Arbeiten'!$1:$3</definedName>
    <definedName name="rngTitelF" localSheetId="3">'Anhang Maschinen &amp; Arbeiten'!$4:$5</definedName>
    <definedName name="rowD1" localSheetId="3">'Anhang Maschinen &amp; Arbeiten'!$1:$3</definedName>
    <definedName name="rowD2" localSheetId="3">'Anhang Maschinen &amp; Arbeiten'!#REF!</definedName>
    <definedName name="rowF1" localSheetId="3">'Anhang Maschinen &amp; Arbeiten'!$4:$5</definedName>
    <definedName name="rowF2" localSheetId="3">'Anhang Maschinen &amp; Arbeiten'!$66:$82</definedName>
    <definedName name="sarcleuse">'Anhang Maschinen &amp; Arbeiten'!$D$29</definedName>
    <definedName name="Scorr" localSheetId="3">#REF!</definedName>
    <definedName name="Scorr" localSheetId="1">#REF!</definedName>
    <definedName name="Scorr" localSheetId="2">#REF!</definedName>
    <definedName name="Scorr">#REF!</definedName>
    <definedName name="semi">'Anhang Maschinen &amp; Arbeiten'!$D$7:$D$20</definedName>
    <definedName name="sol">#REF!</definedName>
    <definedName name="sol_et_semi">'Anhang Maschinen &amp; Arbeiten'!$D$7:$D$16</definedName>
    <definedName name="soll">#REF!</definedName>
    <definedName name="Sprachindex" localSheetId="3">#REF!</definedName>
    <definedName name="Sprachindex" localSheetId="1">#REF!</definedName>
    <definedName name="Sprachindex" localSheetId="2">#REF!</definedName>
    <definedName name="Sprachindex">#REF!</definedName>
    <definedName name="supplement_GPS">Q!$A$6:$A$7</definedName>
    <definedName name="supplément_GPS">Q!$A$6:$B$7</definedName>
    <definedName name="tracteurs">'Anhang Maschinen &amp; Arbeiten'!#REF!</definedName>
    <definedName name="traction">Q!#REF!</definedName>
    <definedName name="Traktor" localSheetId="3">'Anhang Maschinen &amp; Arbeiten'!#REF!</definedName>
    <definedName name="Traktor">'Anhang Maschinen &amp; Arbeiten'!$F$45:$H$65</definedName>
    <definedName name="Travail">Q!#REF!</definedName>
    <definedName name="travaux">Q!#REF!</definedName>
    <definedName name="travaux_100" localSheetId="3">'Anhang Maschinen &amp; Arbeiten'!$D$7:$D$16</definedName>
    <definedName name="travaux_100">#REF!</definedName>
    <definedName name="travaux_1000" localSheetId="3">'Anhang Maschinen &amp; Arbeiten'!#REF!</definedName>
    <definedName name="travaux_1000">#REF!</definedName>
    <definedName name="travaux_1100" localSheetId="3">'Anhang Maschinen &amp; Arbeiten'!#REF!</definedName>
    <definedName name="travaux_1100">#REF!</definedName>
    <definedName name="travaux_1200" localSheetId="3">'Anhang Maschinen &amp; Arbeiten'!#REF!</definedName>
    <definedName name="travaux_1200">#REF!</definedName>
    <definedName name="travaux_1300" localSheetId="3">'Anhang Maschinen &amp; Arbeiten'!#REF!</definedName>
    <definedName name="travaux_1300">#REF!</definedName>
    <definedName name="travaux_200" localSheetId="3">'Anhang Maschinen &amp; Arbeiten'!$D$11:$D$11</definedName>
    <definedName name="travaux_200">#REF!</definedName>
    <definedName name="travaux_300" localSheetId="3">'Anhang Maschinen &amp; Arbeiten'!$D$22:$D$31</definedName>
    <definedName name="travaux_300">#REF!</definedName>
    <definedName name="travaux_400" localSheetId="3">'Anhang Maschinen &amp; Arbeiten'!$D$34:$D$34</definedName>
    <definedName name="travaux_400">#REF!</definedName>
    <definedName name="travaux_500" localSheetId="3">'Anhang Maschinen &amp; Arbeiten'!#REF!</definedName>
    <definedName name="travaux_500">#REF!</definedName>
    <definedName name="travaux_600" localSheetId="3">'Anhang Maschinen &amp; Arbeiten'!#REF!</definedName>
    <definedName name="travaux_600">#REF!</definedName>
    <definedName name="travaux_700" localSheetId="3">'Anhang Maschinen &amp; Arbeiten'!$D$36:$D$37</definedName>
    <definedName name="travaux_700">#REF!</definedName>
    <definedName name="travaux_800" localSheetId="3">'Anhang Maschinen &amp; Arbeiten'!$D$38:$D$43</definedName>
    <definedName name="travaux_800">#REF!</definedName>
    <definedName name="travaux_900" localSheetId="3">'Anhang Maschinen &amp; Arbeiten'!#REF!</definedName>
    <definedName name="travaux_900">#REF!</definedName>
    <definedName name="travaux_manuels">'Anhang Maschinen &amp; Arbeiten'!#REF!</definedName>
    <definedName name="type">Q!#REF!</definedName>
    <definedName name="Verwertungsbeitrag" localSheetId="3">[1]Leistungen!#REF!</definedName>
    <definedName name="Verwertungsbeitrag" localSheetId="1">[1]Leistungen!#REF!</definedName>
    <definedName name="Verwertungsbeitrag" localSheetId="2">[1]Leistungen!#REF!</definedName>
    <definedName name="Verwertungsbeitrag">[1]Leistungen!#REF!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2" l="1"/>
  <c r="J43" i="12"/>
  <c r="J40" i="12"/>
  <c r="J42" i="12"/>
  <c r="K43" i="12"/>
  <c r="K42" i="12"/>
  <c r="H19" i="12"/>
  <c r="I19" i="12"/>
  <c r="Q18" i="12"/>
  <c r="H18" i="12"/>
  <c r="I18" i="12"/>
  <c r="Q23" i="13"/>
  <c r="D39" i="13"/>
  <c r="M9" i="9"/>
  <c r="I9" i="9"/>
  <c r="E9" i="9"/>
  <c r="J2" i="9"/>
  <c r="F2" i="9"/>
  <c r="B2" i="9"/>
  <c r="Z27" i="13"/>
  <c r="Z26" i="13"/>
  <c r="Z25" i="13"/>
  <c r="Z23" i="13"/>
  <c r="Z29" i="13"/>
  <c r="Z19" i="13"/>
  <c r="Z18" i="13"/>
  <c r="Z17" i="13"/>
  <c r="Z16" i="13"/>
  <c r="Z11" i="13"/>
  <c r="Q27" i="13"/>
  <c r="Q26" i="13"/>
  <c r="Q25" i="13"/>
  <c r="Q19" i="13"/>
  <c r="Q18" i="13"/>
  <c r="Q17" i="13"/>
  <c r="Q11" i="13"/>
  <c r="Q10" i="13"/>
  <c r="Q9" i="13"/>
  <c r="H27" i="13"/>
  <c r="H26" i="13"/>
  <c r="H25" i="13"/>
  <c r="H23" i="13"/>
  <c r="H19" i="13"/>
  <c r="H18" i="13"/>
  <c r="H17" i="13"/>
  <c r="H11" i="13"/>
  <c r="H10" i="13"/>
  <c r="H9" i="13"/>
  <c r="Q29" i="13"/>
  <c r="L39" i="12"/>
  <c r="K39" i="12"/>
  <c r="J39" i="12"/>
  <c r="L37" i="12"/>
  <c r="K37" i="12"/>
  <c r="J37" i="12"/>
  <c r="H7" i="12"/>
  <c r="Z7" i="13"/>
  <c r="Z28" i="13"/>
  <c r="H8" i="12"/>
  <c r="H9" i="12"/>
  <c r="H10" i="12"/>
  <c r="H11" i="12"/>
  <c r="H12" i="12"/>
  <c r="H13" i="12"/>
  <c r="H14" i="12"/>
  <c r="Z8" i="13"/>
  <c r="H15" i="12"/>
  <c r="H16" i="12"/>
  <c r="H17" i="12"/>
  <c r="Z9" i="13"/>
  <c r="H20" i="12"/>
  <c r="H7" i="13"/>
  <c r="H28" i="13"/>
  <c r="Q7" i="13"/>
  <c r="H8" i="13"/>
  <c r="Z10" i="13"/>
  <c r="Q8" i="13"/>
  <c r="L30" i="12"/>
  <c r="K30" i="12"/>
  <c r="L28" i="12"/>
  <c r="K28" i="12"/>
  <c r="L26" i="12"/>
  <c r="K26" i="12"/>
  <c r="J30" i="12"/>
  <c r="J28" i="12"/>
  <c r="J26" i="12"/>
  <c r="Q28" i="13"/>
  <c r="Q28" i="12"/>
  <c r="H28" i="12"/>
  <c r="I28" i="12"/>
  <c r="Q26" i="12"/>
  <c r="H26" i="12"/>
  <c r="H29" i="13"/>
  <c r="I26" i="12"/>
  <c r="H16" i="13"/>
  <c r="E7" i="13"/>
  <c r="G24" i="12"/>
  <c r="H40" i="12"/>
  <c r="I40" i="12"/>
  <c r="H38" i="12"/>
  <c r="H39" i="12"/>
  <c r="I39" i="12"/>
  <c r="H43" i="12"/>
  <c r="I43" i="12"/>
  <c r="I20" i="12"/>
  <c r="I17" i="12"/>
  <c r="I16" i="12"/>
  <c r="I15" i="12"/>
  <c r="I14" i="12"/>
  <c r="I13" i="12"/>
  <c r="I12" i="12"/>
  <c r="I11" i="12"/>
  <c r="I8" i="12"/>
  <c r="H33" i="12"/>
  <c r="I33" i="12"/>
  <c r="H32" i="12"/>
  <c r="I32" i="12"/>
  <c r="H31" i="12"/>
  <c r="I31" i="12"/>
  <c r="H30" i="12"/>
  <c r="I30" i="12"/>
  <c r="H29" i="12"/>
  <c r="H27" i="12"/>
  <c r="I27" i="12"/>
  <c r="H25" i="12"/>
  <c r="Q16" i="13"/>
  <c r="H24" i="12"/>
  <c r="H23" i="12"/>
  <c r="H22" i="12"/>
  <c r="H36" i="12"/>
  <c r="H37" i="12"/>
  <c r="I37" i="12"/>
  <c r="D38" i="9"/>
  <c r="C38" i="9"/>
  <c r="B38" i="9"/>
  <c r="H38" i="9"/>
  <c r="L38" i="9"/>
  <c r="J38" i="9"/>
  <c r="K38" i="9"/>
  <c r="G38" i="9"/>
  <c r="F38" i="9"/>
  <c r="I36" i="12"/>
  <c r="Q24" i="13"/>
  <c r="Z24" i="13"/>
  <c r="H24" i="13"/>
  <c r="I23" i="12"/>
  <c r="Z15" i="13"/>
  <c r="H15" i="13"/>
  <c r="Q15" i="13"/>
  <c r="M38" i="9"/>
  <c r="I29" i="12"/>
  <c r="I9" i="12"/>
  <c r="I24" i="12"/>
  <c r="I7" i="12"/>
  <c r="I38" i="12"/>
  <c r="I22" i="12"/>
  <c r="I10" i="12"/>
  <c r="I25" i="12"/>
  <c r="Q33" i="12"/>
  <c r="E11" i="13"/>
  <c r="E10" i="13"/>
  <c r="E9" i="13"/>
  <c r="E8" i="13"/>
  <c r="Q30" i="13"/>
  <c r="Q31" i="13"/>
  <c r="Z30" i="13"/>
  <c r="H30" i="13"/>
  <c r="M8" i="9"/>
  <c r="I8" i="9"/>
  <c r="E8" i="9"/>
  <c r="Z36" i="13"/>
  <c r="Z35" i="13"/>
  <c r="Q36" i="13"/>
  <c r="Q35" i="13"/>
  <c r="H36" i="13"/>
  <c r="H35" i="13"/>
  <c r="I38" i="9"/>
  <c r="E38" i="9"/>
  <c r="AC18" i="13"/>
  <c r="AC19" i="13"/>
  <c r="AC15" i="13"/>
  <c r="AB16" i="13"/>
  <c r="AB18" i="13"/>
  <c r="AB19" i="13"/>
  <c r="AB15" i="13"/>
  <c r="AA18" i="13"/>
  <c r="AA19" i="13"/>
  <c r="AA15" i="13"/>
  <c r="AC8" i="13"/>
  <c r="AC10" i="13"/>
  <c r="AC11" i="13"/>
  <c r="AC7" i="13"/>
  <c r="AB8" i="13"/>
  <c r="AB9" i="13"/>
  <c r="AB10" i="13"/>
  <c r="AB11" i="13"/>
  <c r="AB7" i="13"/>
  <c r="AA8" i="13"/>
  <c r="AA9" i="13"/>
  <c r="AA10" i="13"/>
  <c r="AA11" i="13"/>
  <c r="AB17" i="13"/>
  <c r="AA17" i="13"/>
  <c r="AC9" i="13"/>
  <c r="Q20" i="12"/>
  <c r="Q34" i="12"/>
  <c r="Q32" i="12"/>
  <c r="Q31" i="12"/>
  <c r="Q17" i="12"/>
  <c r="Q12" i="12"/>
  <c r="J24" i="9"/>
  <c r="F24" i="9"/>
  <c r="B24" i="9"/>
  <c r="F23" i="9"/>
  <c r="F22" i="9"/>
  <c r="B23" i="9"/>
  <c r="B22" i="9"/>
  <c r="E22" i="9"/>
  <c r="AA7" i="13"/>
  <c r="AC16" i="13"/>
  <c r="AC17" i="13"/>
  <c r="AA16" i="13"/>
  <c r="M24" i="9"/>
  <c r="M23" i="9"/>
  <c r="M22" i="9"/>
  <c r="I24" i="9"/>
  <c r="I23" i="9"/>
  <c r="I22" i="9"/>
  <c r="E24" i="9"/>
  <c r="E23" i="9"/>
  <c r="M19" i="9"/>
  <c r="M18" i="9"/>
  <c r="I19" i="9"/>
  <c r="I18" i="9"/>
  <c r="E19" i="9"/>
  <c r="E18" i="9"/>
  <c r="M16" i="9"/>
  <c r="M15" i="9"/>
  <c r="M14" i="9"/>
  <c r="I16" i="9"/>
  <c r="I15" i="9"/>
  <c r="I14" i="9"/>
  <c r="E15" i="9"/>
  <c r="E16" i="9"/>
  <c r="E14" i="9"/>
  <c r="M12" i="9"/>
  <c r="M11" i="9"/>
  <c r="I12" i="9"/>
  <c r="I11" i="9"/>
  <c r="E12" i="9"/>
  <c r="E11" i="9"/>
  <c r="M6" i="9"/>
  <c r="M5" i="9"/>
  <c r="L21" i="9"/>
  <c r="M21" i="9"/>
  <c r="I6" i="9"/>
  <c r="I5" i="9"/>
  <c r="E6" i="9"/>
  <c r="E5" i="9"/>
  <c r="M7" i="9"/>
  <c r="M13" i="9"/>
  <c r="E17" i="9"/>
  <c r="M17" i="9"/>
  <c r="I17" i="9"/>
  <c r="M20" i="9"/>
  <c r="I13" i="9"/>
  <c r="I20" i="9"/>
  <c r="E20" i="9"/>
  <c r="E13" i="9"/>
  <c r="H21" i="9"/>
  <c r="I21" i="9"/>
  <c r="I26" i="9"/>
  <c r="M26" i="9"/>
  <c r="M10" i="9"/>
  <c r="M35" i="9"/>
  <c r="M34" i="9"/>
  <c r="AC27" i="13"/>
  <c r="AB27" i="13"/>
  <c r="AA27" i="13"/>
  <c r="W27" i="13"/>
  <c r="N27" i="13"/>
  <c r="E27" i="13"/>
  <c r="AC26" i="13"/>
  <c r="AB26" i="13"/>
  <c r="AA26" i="13"/>
  <c r="W26" i="13"/>
  <c r="N26" i="13"/>
  <c r="E26" i="13"/>
  <c r="AC25" i="13"/>
  <c r="AB25" i="13"/>
  <c r="AA25" i="13"/>
  <c r="W25" i="13"/>
  <c r="N25" i="13"/>
  <c r="E25" i="13"/>
  <c r="AC24" i="13"/>
  <c r="AB24" i="13"/>
  <c r="AA24" i="13"/>
  <c r="W24" i="13"/>
  <c r="N24" i="13"/>
  <c r="E24" i="13"/>
  <c r="AC23" i="13"/>
  <c r="AB23" i="13"/>
  <c r="AA23" i="13"/>
  <c r="W23" i="13"/>
  <c r="I34" i="9"/>
  <c r="N23" i="13"/>
  <c r="E23" i="13"/>
  <c r="W19" i="13"/>
  <c r="N19" i="13"/>
  <c r="E19" i="13"/>
  <c r="W18" i="13"/>
  <c r="N18" i="13"/>
  <c r="E18" i="13"/>
  <c r="W17" i="13"/>
  <c r="I33" i="9"/>
  <c r="N17" i="13"/>
  <c r="E17" i="13"/>
  <c r="W16" i="13"/>
  <c r="N16" i="13"/>
  <c r="E16" i="13"/>
  <c r="W15" i="13"/>
  <c r="N15" i="13"/>
  <c r="E15" i="13"/>
  <c r="W11" i="13"/>
  <c r="N11" i="13"/>
  <c r="W10" i="13"/>
  <c r="N10" i="13"/>
  <c r="W9" i="13"/>
  <c r="N9" i="13"/>
  <c r="W8" i="13"/>
  <c r="N8" i="13"/>
  <c r="W7" i="13"/>
  <c r="N7" i="13"/>
  <c r="M31" i="9"/>
  <c r="M30" i="9"/>
  <c r="I30" i="9"/>
  <c r="Z37" i="13"/>
  <c r="Q37" i="13"/>
  <c r="H37" i="13"/>
  <c r="M33" i="9"/>
  <c r="M37" i="9"/>
  <c r="E34" i="9"/>
  <c r="I35" i="9"/>
  <c r="I37" i="9"/>
  <c r="AC28" i="13"/>
  <c r="AB28" i="13"/>
  <c r="AA28" i="13"/>
  <c r="I7" i="9"/>
  <c r="I10" i="9"/>
  <c r="I31" i="9"/>
  <c r="B7" i="9"/>
  <c r="E7" i="9"/>
  <c r="E10" i="9"/>
  <c r="Q85" i="12"/>
  <c r="Q84" i="12"/>
  <c r="Q83" i="12"/>
  <c r="Q82" i="12"/>
  <c r="Q81" i="12"/>
  <c r="Q80" i="12"/>
  <c r="Q79" i="12"/>
  <c r="Q78" i="12"/>
  <c r="Q77" i="12"/>
  <c r="Q73" i="12"/>
  <c r="Q72" i="12"/>
  <c r="Q71" i="12"/>
  <c r="Q67" i="12"/>
  <c r="Q66" i="12"/>
  <c r="Q43" i="12"/>
  <c r="Q40" i="12"/>
  <c r="S39" i="12"/>
  <c r="Q39" i="12"/>
  <c r="Q38" i="12"/>
  <c r="Q37" i="12"/>
  <c r="Q36" i="12"/>
  <c r="Q35" i="12"/>
  <c r="Q27" i="12"/>
  <c r="Q25" i="12"/>
  <c r="Q24" i="12"/>
  <c r="Q30" i="12"/>
  <c r="Q29" i="12"/>
  <c r="Q22" i="12"/>
  <c r="Q23" i="12"/>
  <c r="Q21" i="12"/>
  <c r="Q11" i="12"/>
  <c r="Q8" i="12"/>
  <c r="Q16" i="12"/>
  <c r="Q15" i="12"/>
  <c r="Q14" i="12"/>
  <c r="Q13" i="12"/>
  <c r="Q10" i="12"/>
  <c r="Q9" i="12"/>
  <c r="Q7" i="12"/>
  <c r="L39" i="9"/>
  <c r="M39" i="9"/>
  <c r="M43" i="9"/>
  <c r="H39" i="9"/>
  <c r="I39" i="9"/>
  <c r="I43" i="9"/>
  <c r="Z31" i="13"/>
  <c r="Z39" i="13"/>
  <c r="E33" i="9"/>
  <c r="Q39" i="13"/>
  <c r="E35" i="9"/>
  <c r="D21" i="9"/>
  <c r="E21" i="9"/>
  <c r="E26" i="9"/>
  <c r="E30" i="9"/>
  <c r="E37" i="9"/>
  <c r="M48" i="9"/>
  <c r="I48" i="9"/>
  <c r="H31" i="13"/>
  <c r="H39" i="13"/>
  <c r="E31" i="9"/>
  <c r="D39" i="9"/>
  <c r="E39" i="9"/>
  <c r="E43" i="9"/>
  <c r="E48" i="9"/>
</calcChain>
</file>

<file path=xl/comments1.xml><?xml version="1.0" encoding="utf-8"?>
<comments xmlns="http://schemas.openxmlformats.org/spreadsheetml/2006/main">
  <authors>
    <author>Ein geschätzter Microsoft Office Anwender</author>
  </authors>
  <commentList>
    <comment ref="P3" authorId="0" shapeId="0">
      <text>
        <r>
          <rPr>
            <sz val="8"/>
            <color indexed="81"/>
            <rFont val="Tahoma"/>
            <family val="2"/>
          </rPr>
          <t xml:space="preserve"> 1       Anbau
 2       Pflege
 3       Ernte
 4       Vermarktung
 5       Restarbeit</t>
        </r>
      </text>
    </comment>
    <comment ref="P5" authorId="0" shapeId="0">
      <text>
        <r>
          <rPr>
            <sz val="8"/>
            <color indexed="81"/>
            <rFont val="Tahoma"/>
            <family val="2"/>
          </rPr>
          <t>1 Planter
2 Entretien
3 Récolte
4 Commércialisation
5 Travaux complément.</t>
        </r>
      </text>
    </comment>
  </commentList>
</comments>
</file>

<file path=xl/sharedStrings.xml><?xml version="1.0" encoding="utf-8"?>
<sst xmlns="http://schemas.openxmlformats.org/spreadsheetml/2006/main" count="616" uniqueCount="298">
  <si>
    <t>1 ha</t>
  </si>
  <si>
    <t>dt</t>
  </si>
  <si>
    <t>h</t>
  </si>
  <si>
    <t>Maschinenkosten, Arbeits- und Zugkraftaufwand</t>
  </si>
  <si>
    <t>Eigen oder Miete</t>
  </si>
  <si>
    <t>Lohnarbeit</t>
  </si>
  <si>
    <t>Art*</t>
  </si>
  <si>
    <t>Quelle</t>
  </si>
  <si>
    <t>ART-Nummer</t>
  </si>
  <si>
    <t>Nr.</t>
  </si>
  <si>
    <t>Verfahren</t>
  </si>
  <si>
    <t>AE</t>
  </si>
  <si>
    <t>variable
Zugkr. k.
Fr./AE</t>
  </si>
  <si>
    <t>variable
Gerätek.
Fr./AE</t>
  </si>
  <si>
    <t>Miete
Gerät
Fr./AE</t>
  </si>
  <si>
    <t>Akh-Bedarf
Akh/AE</t>
  </si>
  <si>
    <t>Zugkr.-
Bedarf
Th/AE</t>
  </si>
  <si>
    <t>Fr./
AE</t>
  </si>
  <si>
    <t>var.
Zugk.
Fr./AE</t>
  </si>
  <si>
    <t>Akh/
AE</t>
  </si>
  <si>
    <t>Th/
AE</t>
  </si>
  <si>
    <t>1, 2, 
3, 4,
5</t>
  </si>
  <si>
    <t>Bemerkungen</t>
  </si>
  <si>
    <t>frais tract variab-les</t>
  </si>
  <si>
    <t>Moh/UT</t>
  </si>
  <si>
    <t>hT/
UT</t>
  </si>
  <si>
    <t>ART Maschinen-Nr.</t>
  </si>
  <si>
    <t>Bodenbearbeitung</t>
  </si>
  <si>
    <t>ha</t>
  </si>
  <si>
    <t>ART</t>
  </si>
  <si>
    <t>Pflege</t>
  </si>
  <si>
    <t>t</t>
  </si>
  <si>
    <t>Angaben pro Fuder/ 3t, Miststreuer+Mistlader</t>
  </si>
  <si>
    <t>6028+6042</t>
  </si>
  <si>
    <t>vo</t>
  </si>
  <si>
    <t>Ernte Getreide / Hackfrüchte</t>
  </si>
  <si>
    <t>7003+7023</t>
  </si>
  <si>
    <t>%</t>
  </si>
  <si>
    <t>X</t>
  </si>
  <si>
    <t>B</t>
  </si>
  <si>
    <t>Frais machines variables liés à une location</t>
  </si>
  <si>
    <t>4-Schar-Pflug (30'000 fr.)</t>
  </si>
  <si>
    <t>Grubber mit Nachläufer, 3 m (15'000 fr.)</t>
  </si>
  <si>
    <t>Federzinkenegge mit Krümler, 3 m (8'300 fr.)</t>
  </si>
  <si>
    <t>Scheibenegge gezogen, 4 m (41'000 fr.)</t>
  </si>
  <si>
    <t>Kreiselegge mit Packerwalze, 3 m (20'000 fr.)</t>
  </si>
  <si>
    <t>Rauwalze, 3 m, einteilig, Dreipunktanbau (5'400 fr.)</t>
  </si>
  <si>
    <t>Einzelkornsämasch. f. Rüben, 6-reihig, 3 m (24'000 fr.)</t>
  </si>
  <si>
    <t>FIBL</t>
  </si>
  <si>
    <t>proche 4101 avec tracteur 1010</t>
  </si>
  <si>
    <t>A</t>
  </si>
  <si>
    <t>C</t>
  </si>
  <si>
    <t>proche 4040 avec tracteur 1010</t>
  </si>
  <si>
    <t>D</t>
  </si>
  <si>
    <t>Einzelkornsämasch. für Direktsaat, 6 Reihen, 3 m (40'000 fr.)</t>
  </si>
  <si>
    <t>Schälpflug, 2.7 m (23'000 fr.)</t>
  </si>
  <si>
    <t>Grossfederzinkenegge, 6 m (21'000 fr.)</t>
  </si>
  <si>
    <t>Präzisionsgrubber, 3 m (40'000 fr.)</t>
  </si>
  <si>
    <t>E</t>
  </si>
  <si>
    <t>Hackstriegel, 6 m (8'900 fr.)</t>
  </si>
  <si>
    <t>Hackstriegel, hydraulisch, 9 m (13'500 fr.)</t>
  </si>
  <si>
    <t>Rübenscharhackgerät, 6-reihig, 3 m, 2 Pers. (9'100 fr.)</t>
  </si>
  <si>
    <t>Grunddüngung, Schleuderstr. 500-1000 l (6'800 fr.)</t>
  </si>
  <si>
    <t>Misten, Hydrauliklader, 12 m3-Steuer, pro t (46'000 + 26'000 fr.)</t>
  </si>
  <si>
    <t>Anbaufeldspritze, 12 m, 600 l Fass (20'300 fr.)</t>
  </si>
  <si>
    <t>Einzelkornsämaschine für Rüben, 12-reihig</t>
  </si>
  <si>
    <t>G</t>
  </si>
  <si>
    <t>Rübenscharhackgerät, 6-reihig, 3 m, mit Kamerasteuerung (9'100 + 26'000 fr.)</t>
  </si>
  <si>
    <t>5121+5095</t>
  </si>
  <si>
    <t>H</t>
  </si>
  <si>
    <t>Rollstriegel, 6 m (23'000 fr.)</t>
  </si>
  <si>
    <t>proche 5092 avec tracteur 1003</t>
  </si>
  <si>
    <t>I</t>
  </si>
  <si>
    <t>J</t>
  </si>
  <si>
    <t>10 t-Tandemkipper hydr., 2-Achs in Fuder (28'000 fr.)</t>
  </si>
  <si>
    <t>10 t-Tandemkipper hydr., 2-Achs in h (28'000 fr.)</t>
  </si>
  <si>
    <t>Mähdrescher, 150 kW (Soja)</t>
  </si>
  <si>
    <t>Mähdrescher, 257 kW (Soja)</t>
  </si>
  <si>
    <t>7006+7025</t>
  </si>
  <si>
    <t>1</t>
  </si>
  <si>
    <t>2</t>
  </si>
  <si>
    <t>Rübenscharhackgerät mit Kress-Finger, 6 m (23'000 + 6'000 fr.)</t>
  </si>
  <si>
    <t>Rübenscharhackgerät mit Kress-Torsionzinken, 6 m (23'000 + 1'200 fr.)</t>
  </si>
  <si>
    <t xml:space="preserve"> </t>
  </si>
  <si>
    <t>K</t>
  </si>
  <si>
    <t>Handarbeit 2. Person Bedienung</t>
  </si>
  <si>
    <t>T</t>
  </si>
  <si>
    <t>Tracteurs</t>
  </si>
  <si>
    <t>1+</t>
  </si>
  <si>
    <t>2+</t>
  </si>
  <si>
    <t>3+</t>
  </si>
  <si>
    <t>4+</t>
  </si>
  <si>
    <t>5+</t>
  </si>
  <si>
    <t>o</t>
  </si>
  <si>
    <t xml:space="preserve"> +</t>
  </si>
  <si>
    <t>Traktoren</t>
  </si>
  <si>
    <t>Traktor, 41 kW</t>
  </si>
  <si>
    <t>Traktor, 41 kW mit Doppelbereifung</t>
  </si>
  <si>
    <t>Traktor, 50 kW</t>
  </si>
  <si>
    <t>Traktor, 50 kW mit Doppelbereifung</t>
  </si>
  <si>
    <t>Traktor, 70 kW</t>
  </si>
  <si>
    <t>Traktor, 70 kW mit Doppelbereifung</t>
  </si>
  <si>
    <t>Traktor, 82 kW</t>
  </si>
  <si>
    <t>Traktor, 82 kW mit Doppelbereifung</t>
  </si>
  <si>
    <t>Traktor, 115 kW</t>
  </si>
  <si>
    <t>Traktor, 115 kW mit Doppelbereifung</t>
  </si>
  <si>
    <t>Schmalspurtraktor, 4-Rad, 45 kW</t>
  </si>
  <si>
    <t>Trägerfahrz. mit Raupen + Hubwerk, 44 kW</t>
  </si>
  <si>
    <t>Traktor mit Knicklenkung, 40 kW</t>
  </si>
  <si>
    <t>Trägerfahrzeug mit Raupen, 18 kW</t>
  </si>
  <si>
    <t>kein Traktor, nur Handarbeit (o eingeben)</t>
  </si>
  <si>
    <t>Doppelbereifung vorne + hinten, bis 64 kW</t>
  </si>
  <si>
    <t>Doppelbereifung vorne + hinten, ab 65 kW</t>
  </si>
  <si>
    <t>Zusatz GPS</t>
  </si>
  <si>
    <t>GPS</t>
  </si>
  <si>
    <t>Kamerasteuerung für Hackgeräte</t>
  </si>
  <si>
    <t>Cam</t>
  </si>
  <si>
    <t>Schmalspurtraktor, 4-Rad, 30 kW</t>
  </si>
  <si>
    <t>Schmalspurtraktor, 4-Rad, 55 kW</t>
  </si>
  <si>
    <t>1021+1022</t>
  </si>
  <si>
    <t>1023+1024</t>
  </si>
  <si>
    <t>proche 4005 avec tracteur 1006</t>
  </si>
  <si>
    <t>proche 5022 avec tracteur 1011</t>
  </si>
  <si>
    <t>Anh. 2-achsig, 5 t, hydr. kippbar in Fuder</t>
  </si>
  <si>
    <t>Anh. 2-achsig, 5 t, hydraulisch kippbar in h</t>
  </si>
  <si>
    <t>Was ist der Deckungsbeitrag?</t>
  </si>
  <si>
    <r>
      <t xml:space="preserve">Der </t>
    </r>
    <r>
      <rPr>
        <b/>
        <sz val="11"/>
        <color theme="1"/>
        <rFont val="Calibri"/>
        <family val="2"/>
        <scheme val="minor"/>
      </rPr>
      <t>Deckungsbeitrag (DB)</t>
    </r>
    <r>
      <rPr>
        <sz val="11"/>
        <color theme="1"/>
        <rFont val="Calibri"/>
        <family val="2"/>
        <scheme val="minor"/>
      </rPr>
      <t xml:space="preserve"> ist die Differenz zwischen </t>
    </r>
    <r>
      <rPr>
        <b/>
        <sz val="11"/>
        <color theme="1"/>
        <rFont val="Calibri"/>
        <family val="2"/>
        <scheme val="minor"/>
      </rPr>
      <t>Leistung</t>
    </r>
    <r>
      <rPr>
        <sz val="11"/>
        <color theme="1"/>
        <rFont val="Calibri"/>
        <family val="2"/>
        <scheme val="minor"/>
      </rPr>
      <t xml:space="preserve"> und </t>
    </r>
    <r>
      <rPr>
        <b/>
        <sz val="11"/>
        <color theme="1"/>
        <rFont val="Calibri"/>
        <family val="2"/>
        <scheme val="minor"/>
      </rPr>
      <t>variablen Kosten</t>
    </r>
    <r>
      <rPr>
        <sz val="11"/>
        <color theme="1"/>
        <rFont val="Calibri"/>
        <family val="2"/>
        <scheme val="minor"/>
      </rPr>
      <t xml:space="preserve"> eines Produktionszweiges. Der DB muss die Gemeinkosten abdecken.  Die sogenannten Gemeinkosten sind diejenigen Kosten, deren Höhe nicht von der produzierten Menge abhängt und die für den allgemeinen Betrieb des Unternehmens verwendet werden, unabhängig von der Produktion (Versicherungen, Steuern, Abschreibungen auf Geräte und Gebäude, ... ).</t>
    </r>
  </si>
  <si>
    <r>
      <t xml:space="preserve">Zu den </t>
    </r>
    <r>
      <rPr>
        <b/>
        <sz val="11"/>
        <color theme="1"/>
        <rFont val="Calibri"/>
        <family val="2"/>
        <scheme val="minor"/>
      </rPr>
      <t>Leistungen</t>
    </r>
    <r>
      <rPr>
        <sz val="11"/>
        <color theme="1"/>
        <rFont val="Calibri"/>
        <family val="2"/>
        <scheme val="minor"/>
      </rPr>
      <t xml:space="preserve"> gehören Einnahmen aus dem Verkauf der Produktion (bei denen ein periodisches Risiko des Klimaschadens berücksichtigt wird) sowie Direktzahlungen im Zusammenhang mit der Kultur oder Fläche.</t>
    </r>
  </si>
  <si>
    <r>
      <t xml:space="preserve">Die </t>
    </r>
    <r>
      <rPr>
        <b/>
        <sz val="11"/>
        <color theme="1"/>
        <rFont val="Calibri"/>
        <family val="2"/>
        <scheme val="minor"/>
      </rPr>
      <t>variablen Kosten</t>
    </r>
    <r>
      <rPr>
        <sz val="11"/>
        <color theme="1"/>
        <rFont val="Calibri"/>
        <family val="2"/>
        <scheme val="minor"/>
      </rPr>
      <t xml:space="preserve"> umfassen so genannte spezifische Kosten, d. h. die Kosten, die mit der Kultur selbst zusammenhängen (Saatgut, Düngemittel, Pflanzenschutzmittel, usw.), sowie einen Teil der der Kultur direkt zurechenbaren Strukturkosten (variable Mechanisierungskosten, Hagelversicherung usw.). </t>
    </r>
    <r>
      <rPr>
        <b/>
        <sz val="11"/>
        <color theme="1"/>
        <rFont val="Calibri"/>
        <family val="2"/>
        <scheme val="minor"/>
      </rPr>
      <t>Variable Mechanisierungskosten</t>
    </r>
    <r>
      <rPr>
        <sz val="11"/>
        <color theme="1"/>
        <rFont val="Calibri"/>
        <family val="2"/>
        <scheme val="minor"/>
      </rPr>
      <t xml:space="preserve"> beinhalten Kraftstoff-, Schmierstoff-, Wartungs- und Reparaturkosten, </t>
    </r>
    <r>
      <rPr>
        <u/>
        <sz val="11"/>
        <color theme="1"/>
        <rFont val="Calibri"/>
        <family val="2"/>
        <scheme val="minor"/>
      </rPr>
      <t>nicht aber Maschinenabschreibung</t>
    </r>
    <r>
      <rPr>
        <sz val="11"/>
        <color theme="1"/>
        <rFont val="Calibri"/>
        <family val="2"/>
        <scheme val="minor"/>
      </rPr>
      <t xml:space="preserve"> oder -unterhalt, Gebüren und Steuern, usw...</t>
    </r>
  </si>
  <si>
    <t>Einige nützliche Details</t>
  </si>
  <si>
    <r>
      <t xml:space="preserve">Die Mechanisierungskosten werden auf standardisierte Weise berechnet, basierend auf der Liste der Maschinen im </t>
    </r>
    <r>
      <rPr>
        <i/>
        <sz val="11"/>
        <color theme="1"/>
        <rFont val="Calibri"/>
        <family val="2"/>
        <scheme val="minor"/>
      </rPr>
      <t>Anhang:</t>
    </r>
  </si>
  <si>
    <t>- mit dem für jede Maschine am besten geeigneten Traktor</t>
  </si>
  <si>
    <t>- mit durchschnittlichen Reparatur- und Wartungskosten, unabhängig vom Alter der Maschine</t>
  </si>
  <si>
    <t>- Kraftstoffpreisen sind geschätzt auf:</t>
  </si>
  <si>
    <t>*  1.64 CHF / l für Diesel</t>
  </si>
  <si>
    <t>*  1.56  CHF / l für Benzin</t>
  </si>
  <si>
    <t>- ein Aufpreis für die optionale Nutzung eines bordeigenen GPS/PFS von 5.- CHF/ Traktionsstunde</t>
  </si>
  <si>
    <t>- ohne Berücksichtigung des Lohns oder der Entschädigung des Fahrers</t>
  </si>
  <si>
    <t>- lediglich die Entlohnung der für die Jätmaschine benötigten Mitarbeiter wird automatisch berechnet.</t>
  </si>
  <si>
    <t>Da das Jäten bei einigen Maschinen durch manuelles Jäten ersetzt werden kann, ist es möglich, Arbeitszeiten und einen Vergütungssatz für diesen Vorgang einzugeben.</t>
  </si>
  <si>
    <t>Gebrauchsanleitung</t>
  </si>
  <si>
    <t>- Im Blatt "Annahmen" wählt der Produzent die verwendeten Maschinen aus, unabhängig davon ob die GPS/PFS-Technologie verwendet wird oder nicht, sowie den Status der Maschine (im Eigentum, gemietet oder Arbeit durch Dritte) und die Anzahl der Durchfahrten. Es zeigt auch den Typ der Hackmaschine (einfache Hackmaschine, kameragesteuerte Hackmaschine oder mit einer zusätzlichen Person, die die Hackmaschine führt) und die Anzahl der Stunden der manuellen Unkrautbekämpfung an, die durchgeführt wurde. Nur die gelben Zellen können verändert werden. Diese Zahlen finden Sie im Blatt "Berechnungen".</t>
  </si>
  <si>
    <t>- Im Tabellenblatt "Berechnungen", die nichts anderes ist als die offizielle Berechnung der Deckungsbeiträge, kann der Produzent einige andere Faktoren wie Ernteertrag, Preis und Saatgutkosten ändern.</t>
  </si>
  <si>
    <t>Laden Sie die Excel-Datei auf Ihren Computer herunter!</t>
  </si>
  <si>
    <t>Dies ist notwendig, damit Sie mit der Excel-Datei arbeiten können. Es ist nicht möglich, mit der Vorlage direkt im Internet zu arbeiten.</t>
  </si>
  <si>
    <t xml:space="preserve">Sie haben irgendwelche Wünsche zur Verbesserung? </t>
  </si>
  <si>
    <t>Angesichts der erwarteten Entwicklung der biologischen Sojabohnenproduktion ermöglicht dieses Tool eine genauere Schätzung der Produktionskosten und der erwarteten Deckungsbeiträge als die Standardtabelle Soja in der Datensammlung Deckungsbeiträge der AGRIDEA. Aber in einigen Aspekten bleibt die Berechnung empirisch oder ungenau. Deshalb können Benutzer dieses Excel-Tools Kommentare oder Verbesserungsvorschläge an Jean-Luc Martrou, AGRIDEA (E-Mail: jean-luc.martrou@agridea.ch) senden.</t>
  </si>
  <si>
    <t>Version vom 20.03.2019</t>
  </si>
  <si>
    <t>Gregor Albisser Vögeli und Benoît Cascard, AGRIDEA</t>
  </si>
  <si>
    <t>Nathaniel Schmid, Maurice Clerc, Ivanoé Koog, Stefan Schürmann und Matthias Klaiss, FiBL</t>
  </si>
  <si>
    <t>Dieses Projekt wurde vom Coop Fond für nachhaltige Entwicklung, der Bio Suisse und dem Projekt LegValue finanziert.</t>
  </si>
  <si>
    <t>Anhang: Maschinenliste</t>
  </si>
  <si>
    <t>Name der Maschine</t>
  </si>
  <si>
    <t>Zugkraft-
Bedarf
Th/AE</t>
  </si>
  <si>
    <t>variable
Zugkraft-Kosten
CHF/AE</t>
  </si>
  <si>
    <t>variable
Zugkr.K. mit GPS
CHF/AE</t>
  </si>
  <si>
    <t>variable
Gerätek.
CHF/AE</t>
  </si>
  <si>
    <t>Miete
Gerät
CHF/AE</t>
  </si>
  <si>
    <t>Kosten Lohn-
untern.
CHF/AE</t>
  </si>
  <si>
    <t>Fu</t>
  </si>
  <si>
    <t>Bodenbearbeitung und Saat</t>
  </si>
  <si>
    <t>Pflege, Düngung und Pflanzenschutz</t>
  </si>
  <si>
    <t>Ernte und Transport</t>
  </si>
  <si>
    <t>Kamerasteuerung für Hackmaschinen</t>
  </si>
  <si>
    <t>Zuschlag für GPS</t>
  </si>
  <si>
    <t>AE = Arbeitseinheit</t>
  </si>
  <si>
    <t>ha = Hektare</t>
  </si>
  <si>
    <t>t = Tonne</t>
  </si>
  <si>
    <t>h = Stunde</t>
  </si>
  <si>
    <t>Fu = Duder</t>
  </si>
  <si>
    <t>Erläuterungen</t>
  </si>
  <si>
    <t>Abkürzungen</t>
  </si>
  <si>
    <t>den Richtzeiten für Arbeits- und Produktionsverfahren der Agroscope Reckenholz-Tänikon ART, berechnet bei einer</t>
  </si>
  <si>
    <t>normalen Feldgrösse von 1 ha.</t>
  </si>
  <si>
    <t>Die Richtwerte bei den Maschinenverfahren entsprechen dem ART-Bericht «Maschinenkosten 2018» sowie</t>
  </si>
  <si>
    <t>Weitere Details zur Methodik finden Sie hier:</t>
  </si>
  <si>
    <t>www.maschinenkosten.ch</t>
  </si>
  <si>
    <r>
      <rPr>
        <b/>
        <sz val="11"/>
        <rFont val="Calibri"/>
        <family val="2"/>
        <scheme val="minor"/>
      </rPr>
      <t>1a</t>
    </r>
    <r>
      <rPr>
        <sz val="11"/>
        <rFont val="Calibri"/>
        <family val="2"/>
        <scheme val="minor"/>
      </rPr>
      <t xml:space="preserve"> 4-Schar-Pflug</t>
    </r>
  </si>
  <si>
    <r>
      <rPr>
        <b/>
        <sz val="11"/>
        <rFont val="Calibri"/>
        <family val="2"/>
        <scheme val="minor"/>
      </rPr>
      <t xml:space="preserve">1b  </t>
    </r>
    <r>
      <rPr>
        <sz val="11"/>
        <rFont val="Calibri"/>
        <family val="2"/>
        <scheme val="minor"/>
      </rPr>
      <t>Schälpflug, 2.7 m</t>
    </r>
  </si>
  <si>
    <r>
      <rPr>
        <b/>
        <sz val="11"/>
        <rFont val="Calibri"/>
        <family val="2"/>
        <scheme val="minor"/>
      </rPr>
      <t>1c</t>
    </r>
    <r>
      <rPr>
        <sz val="11"/>
        <rFont val="Calibri"/>
        <family val="2"/>
        <scheme val="minor"/>
      </rPr>
      <t xml:space="preserve">  Grubber mit Nachläufer, 3 m</t>
    </r>
  </si>
  <si>
    <r>
      <rPr>
        <b/>
        <sz val="11"/>
        <rFont val="Calibri"/>
        <family val="2"/>
        <scheme val="minor"/>
      </rPr>
      <t>1d</t>
    </r>
    <r>
      <rPr>
        <sz val="11"/>
        <rFont val="Calibri"/>
        <family val="2"/>
        <scheme val="minor"/>
      </rPr>
      <t xml:space="preserve">  Federzinkenegge mit Krümler, 3 m</t>
    </r>
  </si>
  <si>
    <r>
      <rPr>
        <b/>
        <sz val="11"/>
        <rFont val="Calibri"/>
        <family val="2"/>
        <scheme val="minor"/>
      </rPr>
      <t>1e</t>
    </r>
    <r>
      <rPr>
        <sz val="11"/>
        <rFont val="Calibri"/>
        <family val="2"/>
        <scheme val="minor"/>
      </rPr>
      <t xml:space="preserve">  Gressfederzinkenegge, 6 m</t>
    </r>
  </si>
  <si>
    <r>
      <rPr>
        <b/>
        <sz val="11"/>
        <rFont val="Calibri"/>
        <family val="2"/>
        <scheme val="minor"/>
      </rPr>
      <t>1f</t>
    </r>
    <r>
      <rPr>
        <sz val="11"/>
        <rFont val="Calibri"/>
        <family val="2"/>
        <scheme val="minor"/>
      </rPr>
      <t xml:space="preserve">  Präzisionsgrupper, 3 m</t>
    </r>
  </si>
  <si>
    <r>
      <rPr>
        <b/>
        <sz val="11"/>
        <rFont val="Calibri"/>
        <family val="2"/>
        <scheme val="minor"/>
      </rPr>
      <t>1g</t>
    </r>
    <r>
      <rPr>
        <sz val="11"/>
        <rFont val="Calibri"/>
        <family val="2"/>
        <scheme val="minor"/>
      </rPr>
      <t xml:space="preserve">  Scheibenegge gezogen, 4 m</t>
    </r>
  </si>
  <si>
    <r>
      <rPr>
        <b/>
        <sz val="11"/>
        <rFont val="Calibri"/>
        <family val="2"/>
        <scheme val="minor"/>
      </rPr>
      <t>1h</t>
    </r>
    <r>
      <rPr>
        <sz val="11"/>
        <rFont val="Calibri"/>
        <family val="2"/>
        <scheme val="minor"/>
      </rPr>
      <t xml:space="preserve">  Kreiselegge mit Packerwalze, 3 m</t>
    </r>
  </si>
  <si>
    <r>
      <rPr>
        <b/>
        <sz val="11"/>
        <rFont val="Calibri"/>
        <family val="2"/>
        <scheme val="minor"/>
      </rPr>
      <t>1i</t>
    </r>
    <r>
      <rPr>
        <sz val="11"/>
        <rFont val="Calibri"/>
        <family val="2"/>
        <scheme val="minor"/>
      </rPr>
      <t xml:space="preserve">  Rauwalze, 3 m, einteilig, Dreipunktanbau</t>
    </r>
  </si>
  <si>
    <r>
      <rPr>
        <b/>
        <sz val="11"/>
        <rFont val="Calibri"/>
        <family val="2"/>
        <scheme val="minor"/>
      </rPr>
      <t>1j</t>
    </r>
    <r>
      <rPr>
        <sz val="11"/>
        <rFont val="Calibri"/>
        <family val="2"/>
        <scheme val="minor"/>
      </rPr>
      <t xml:space="preserve">  Einzelkornsämasch. f. Rüben, 6-reihig, 3 m</t>
    </r>
  </si>
  <si>
    <r>
      <rPr>
        <b/>
        <sz val="11"/>
        <rFont val="Calibri"/>
        <family val="2"/>
        <scheme val="minor"/>
      </rPr>
      <t xml:space="preserve">1k </t>
    </r>
    <r>
      <rPr>
        <sz val="11"/>
        <rFont val="Calibri"/>
        <family val="2"/>
        <scheme val="minor"/>
      </rPr>
      <t xml:space="preserve"> Einzelkornsämaschine für Direktsaat, 6 Reihen, 3 m</t>
    </r>
  </si>
  <si>
    <r>
      <rPr>
        <b/>
        <sz val="11"/>
        <rFont val="Calibri"/>
        <family val="2"/>
        <scheme val="minor"/>
      </rPr>
      <t xml:space="preserve">1l </t>
    </r>
    <r>
      <rPr>
        <sz val="11"/>
        <rFont val="Calibri"/>
        <family val="2"/>
        <scheme val="minor"/>
      </rPr>
      <t xml:space="preserve"> Einzelkornsämasch. f. Rüben, 12-reihig</t>
    </r>
  </si>
  <si>
    <r>
      <rPr>
        <b/>
        <sz val="11"/>
        <rFont val="Calibri"/>
        <family val="2"/>
        <scheme val="minor"/>
      </rPr>
      <t>2a</t>
    </r>
    <r>
      <rPr>
        <sz val="11"/>
        <rFont val="Calibri"/>
        <family val="2"/>
        <scheme val="minor"/>
      </rPr>
      <t xml:space="preserve">  Hackstriegel, hydraulisch, 9 m</t>
    </r>
  </si>
  <si>
    <r>
      <rPr>
        <b/>
        <sz val="11"/>
        <rFont val="Calibri"/>
        <family val="2"/>
        <scheme val="minor"/>
      </rPr>
      <t>2b</t>
    </r>
    <r>
      <rPr>
        <sz val="11"/>
        <rFont val="Calibri"/>
        <family val="2"/>
        <scheme val="minor"/>
      </rPr>
      <t xml:space="preserve">  Hackstriegel, 6 m</t>
    </r>
  </si>
  <si>
    <r>
      <rPr>
        <b/>
        <sz val="11"/>
        <rFont val="Calibri"/>
        <family val="2"/>
        <scheme val="minor"/>
      </rPr>
      <t>2c</t>
    </r>
    <r>
      <rPr>
        <sz val="11"/>
        <rFont val="Calibri"/>
        <family val="2"/>
        <scheme val="minor"/>
      </rPr>
      <t xml:space="preserve">  Rollstriegel, 6 m</t>
    </r>
  </si>
  <si>
    <r>
      <rPr>
        <b/>
        <sz val="11"/>
        <rFont val="Calibri"/>
        <family val="2"/>
        <scheme val="minor"/>
      </rPr>
      <t>2d</t>
    </r>
    <r>
      <rPr>
        <sz val="11"/>
        <rFont val="Calibri"/>
        <family val="2"/>
        <scheme val="minor"/>
      </rPr>
      <t xml:space="preserve">  Rübenhackgerät mit Kress-Finger, 6-reihig</t>
    </r>
  </si>
  <si>
    <r>
      <rPr>
        <b/>
        <sz val="11"/>
        <rFont val="Calibri"/>
        <family val="2"/>
        <scheme val="minor"/>
      </rPr>
      <t>2e</t>
    </r>
    <r>
      <rPr>
        <sz val="11"/>
        <rFont val="Calibri"/>
        <family val="2"/>
        <scheme val="minor"/>
      </rPr>
      <t xml:space="preserve">  Rübenhackgerät mit Kress-Finger, 6-reihig, mit Kamerasteuerung</t>
    </r>
  </si>
  <si>
    <r>
      <rPr>
        <b/>
        <sz val="11"/>
        <rFont val="Calibri"/>
        <family val="2"/>
        <scheme val="minor"/>
      </rPr>
      <t>2f</t>
    </r>
    <r>
      <rPr>
        <sz val="11"/>
        <rFont val="Calibri"/>
        <family val="2"/>
        <scheme val="minor"/>
      </rPr>
      <t xml:space="preserve">   Rübenhackgerät mit Kress-Torsionszinken, 6-reihig</t>
    </r>
  </si>
  <si>
    <r>
      <rPr>
        <b/>
        <sz val="11"/>
        <rFont val="Calibri"/>
        <family val="2"/>
        <scheme val="minor"/>
      </rPr>
      <t>2g</t>
    </r>
    <r>
      <rPr>
        <sz val="11"/>
        <rFont val="Calibri"/>
        <family val="2"/>
        <scheme val="minor"/>
      </rPr>
      <t xml:space="preserve">   Rübenhackgerät mit Kress-Torsionszinken, 6-reihig, mit Kamerasteuerung</t>
    </r>
  </si>
  <si>
    <r>
      <rPr>
        <b/>
        <sz val="11"/>
        <rFont val="Calibri"/>
        <family val="2"/>
        <scheme val="minor"/>
      </rPr>
      <t>2h</t>
    </r>
    <r>
      <rPr>
        <sz val="11"/>
        <rFont val="Calibri"/>
        <family val="2"/>
        <scheme val="minor"/>
      </rPr>
      <t xml:space="preserve">  Rübenhackgerät, 6-reihig, 3 m</t>
    </r>
  </si>
  <si>
    <r>
      <rPr>
        <b/>
        <sz val="11"/>
        <rFont val="Calibri"/>
        <family val="2"/>
        <scheme val="minor"/>
      </rPr>
      <t xml:space="preserve">2i </t>
    </r>
    <r>
      <rPr>
        <sz val="11"/>
        <rFont val="Calibri"/>
        <family val="2"/>
        <scheme val="minor"/>
      </rPr>
      <t xml:space="preserve"> Rübenhackgerät, 6-reihig, 3 m, mit Kamerasteuerung</t>
    </r>
  </si>
  <si>
    <r>
      <rPr>
        <b/>
        <sz val="11"/>
        <rFont val="Calibri"/>
        <family val="2"/>
        <scheme val="minor"/>
      </rPr>
      <t>2j</t>
    </r>
    <r>
      <rPr>
        <sz val="11"/>
        <rFont val="Calibri"/>
        <family val="2"/>
        <scheme val="minor"/>
      </rPr>
      <t xml:space="preserve">  Grunddüngung, Schleuderstr. 500-1000 l (6'700 CHF)</t>
    </r>
  </si>
  <si>
    <r>
      <rPr>
        <b/>
        <sz val="11"/>
        <rFont val="Calibri"/>
        <family val="2"/>
        <scheme val="minor"/>
      </rPr>
      <t xml:space="preserve">2k </t>
    </r>
    <r>
      <rPr>
        <sz val="11"/>
        <rFont val="Calibri"/>
        <family val="2"/>
        <scheme val="minor"/>
      </rPr>
      <t xml:space="preserve"> Misten, Hydrauliklader, 12 m3-Steuer (45'000 + 26'000 CHF)</t>
    </r>
  </si>
  <si>
    <r>
      <rPr>
        <b/>
        <sz val="11"/>
        <rFont val="Calibri"/>
        <family val="2"/>
        <scheme val="minor"/>
      </rPr>
      <t xml:space="preserve">2l </t>
    </r>
    <r>
      <rPr>
        <sz val="11"/>
        <rFont val="Calibri"/>
        <family val="2"/>
        <scheme val="minor"/>
      </rPr>
      <t xml:space="preserve"> Anbaufeldspritze, 12 m, 600 l Fass (23'500 CHF)</t>
    </r>
  </si>
  <si>
    <r>
      <rPr>
        <b/>
        <sz val="11"/>
        <rFont val="Calibri"/>
        <family val="2"/>
        <scheme val="minor"/>
      </rPr>
      <t xml:space="preserve">2m </t>
    </r>
    <r>
      <rPr>
        <sz val="11"/>
        <rFont val="Calibri"/>
        <family val="2"/>
        <scheme val="minor"/>
      </rPr>
      <t xml:space="preserve"> Zusätzliche Person für die Steuerung des Hackgeräts</t>
    </r>
  </si>
  <si>
    <r>
      <rPr>
        <b/>
        <sz val="11"/>
        <rFont val="Calibri"/>
        <family val="2"/>
        <scheme val="minor"/>
      </rPr>
      <t>3a</t>
    </r>
    <r>
      <rPr>
        <sz val="11"/>
        <rFont val="Calibri"/>
        <family val="2"/>
        <scheme val="minor"/>
      </rPr>
      <t xml:space="preserve">  Anh. 2-achsig, 5 t, hydr. kippbar in Fuder</t>
    </r>
  </si>
  <si>
    <r>
      <rPr>
        <b/>
        <sz val="11"/>
        <rFont val="Calibri"/>
        <family val="2"/>
        <scheme val="minor"/>
      </rPr>
      <t>3b</t>
    </r>
    <r>
      <rPr>
        <sz val="11"/>
        <rFont val="Calibri"/>
        <family val="2"/>
        <scheme val="minor"/>
      </rPr>
      <t xml:space="preserve">  Anh. 2-achsig, 5 t, hydr. kippbar in Stunden</t>
    </r>
  </si>
  <si>
    <r>
      <rPr>
        <b/>
        <sz val="11"/>
        <rFont val="Calibri"/>
        <family val="2"/>
        <scheme val="minor"/>
      </rPr>
      <t>3c</t>
    </r>
    <r>
      <rPr>
        <sz val="11"/>
        <rFont val="Calibri"/>
        <family val="2"/>
        <scheme val="minor"/>
      </rPr>
      <t xml:space="preserve">  10 t-Tandemkipper hydr., 2-Achs in Fuder</t>
    </r>
  </si>
  <si>
    <r>
      <rPr>
        <b/>
        <sz val="11"/>
        <rFont val="Calibri"/>
        <family val="2"/>
        <scheme val="minor"/>
      </rPr>
      <t>3d</t>
    </r>
    <r>
      <rPr>
        <sz val="11"/>
        <rFont val="Calibri"/>
        <family val="2"/>
        <scheme val="minor"/>
      </rPr>
      <t xml:space="preserve">  10 t-Tandemkipper hydr., 2-Achs in Stunden</t>
    </r>
  </si>
  <si>
    <t>1a 4-Schar-Pflug</t>
  </si>
  <si>
    <t>1d  Federzinkenegge mit Krümler, 3 m</t>
  </si>
  <si>
    <t>zusätzlich GPS</t>
  </si>
  <si>
    <t>ja</t>
  </si>
  <si>
    <t>nein</t>
  </si>
  <si>
    <t>Handarbeit</t>
  </si>
  <si>
    <t>28 CHF/h : Tarif unter Landwirten</t>
  </si>
  <si>
    <t>49 CHF/h : Tarif Angestellter</t>
  </si>
  <si>
    <t>Eigentum</t>
  </si>
  <si>
    <t>Miete</t>
  </si>
  <si>
    <t>Lohnunt.</t>
  </si>
  <si>
    <t>2a  Hackstriegel, hydraulisch, 9 m</t>
  </si>
  <si>
    <t>2e  Rübenhackgerät mit Kress-Finger, 6-reihig, mit Kamerasteuerung</t>
  </si>
  <si>
    <t>2d  Rübenhackgerät mit Kress-Finger, 6-reihig</t>
  </si>
  <si>
    <t>Wahl des Anbauverfahrens</t>
  </si>
  <si>
    <t>Bio-Soja für Speisenutzung</t>
  </si>
  <si>
    <t>Bio-Soja für Futternutzung</t>
  </si>
  <si>
    <t>Durchf.</t>
  </si>
  <si>
    <t>Ansatz</t>
  </si>
  <si>
    <t>CHF</t>
  </si>
  <si>
    <t>Bodenbearbeitung und Aussaat</t>
  </si>
  <si>
    <t>Zuschlag GPS?</t>
  </si>
  <si>
    <t>Pflege, Düngung, Unkrautbekämpfung</t>
  </si>
  <si>
    <t>Maschinenmiete</t>
  </si>
  <si>
    <t>Lohnarbeiten</t>
  </si>
  <si>
    <t>Variable Maschinenkosten</t>
  </si>
  <si>
    <t>Total variable Maschinenkosten</t>
  </si>
  <si>
    <t>Arbeitskosten</t>
  </si>
  <si>
    <t>Manuelle Unkrautbekämpfung</t>
  </si>
  <si>
    <t>Total Arbeitskosten</t>
  </si>
  <si>
    <t>Total Mechanisierungs- und Arbeitskosten</t>
  </si>
  <si>
    <t>Berechnung des Deckungsbeitrages</t>
  </si>
  <si>
    <t>Menge</t>
  </si>
  <si>
    <t>Einheit</t>
  </si>
  <si>
    <t>Preis</t>
  </si>
  <si>
    <t>Betrag</t>
  </si>
  <si>
    <t>Körner (11% Feuchte)</t>
  </si>
  <si>
    <t>Risiko Ertragsausfall</t>
  </si>
  <si>
    <t>Einzelkulturbeitrag Soja</t>
  </si>
  <si>
    <t>Leistung (Ertrag)</t>
  </si>
  <si>
    <t>Saatgut ungebeizt</t>
  </si>
  <si>
    <t>Innoculum</t>
  </si>
  <si>
    <t>Saatgut / Pflanzgut total</t>
  </si>
  <si>
    <t>org. Ergänzungsdünger</t>
  </si>
  <si>
    <t>Zukauf Mist/Gülle</t>
  </si>
  <si>
    <t>Düngung total</t>
  </si>
  <si>
    <t>Pflanzenschutzbehandlung</t>
  </si>
  <si>
    <t>Pflanzenschutz total</t>
  </si>
  <si>
    <t>Hagelversicherung</t>
  </si>
  <si>
    <t>Trocknung (16=&gt; 11% Feuchte)</t>
  </si>
  <si>
    <t>Annahme, Reinigung</t>
  </si>
  <si>
    <t>Beiträge</t>
  </si>
  <si>
    <t>Übrige direkte Kosten total</t>
  </si>
  <si>
    <t>Besatz</t>
  </si>
  <si>
    <t>Vermarktung total</t>
  </si>
  <si>
    <t>Total Direktkosten</t>
  </si>
  <si>
    <t>Vergleichbarer DB</t>
  </si>
  <si>
    <t>Maschinenmiete *</t>
  </si>
  <si>
    <t>Lohnarbeit *</t>
  </si>
  <si>
    <t>Total Mechanisierungskosten *</t>
  </si>
  <si>
    <t>(* Nach den auf dem Tabellenblatt "Annahmen" definierten Verfahren)</t>
  </si>
  <si>
    <t>Zinsanspruch (6 Monate)</t>
  </si>
  <si>
    <t>Kontroll- und Labelkosten</t>
  </si>
  <si>
    <t>DB</t>
  </si>
  <si>
    <t>Flächenbeiträge</t>
  </si>
  <si>
    <t xml:space="preserve">Kulturlandschaftsbeiträge KLB </t>
  </si>
  <si>
    <t>Versorgungssicherheitsbeitr. VSB</t>
  </si>
  <si>
    <t>Biolandbau Beitrag Ackerbau</t>
  </si>
  <si>
    <t>DB inkl. Beiträge</t>
  </si>
  <si>
    <t>Risiko Ertragsausfall : 1 Jahr von 6
Trocknungskosten = 0.44 CHF/dt + 0.60 CHF je % Feuchtigkeit</t>
  </si>
  <si>
    <t>Hier können frei Informationen und Bemerkungen eingeben werden, 
die für das Verständnis der verwendeten Annahmen wichtig sind.</t>
  </si>
  <si>
    <r>
      <t>Variable Maschinenkosten</t>
    </r>
    <r>
      <rPr>
        <sz val="11"/>
        <color rgb="FFFF0000"/>
        <rFont val="Calibri"/>
        <family val="2"/>
        <scheme val="minor"/>
      </rPr>
      <t xml:space="preserve"> *</t>
    </r>
  </si>
  <si>
    <t>Dosen</t>
  </si>
  <si>
    <t>Beutel</t>
  </si>
  <si>
    <t>Extenso</t>
  </si>
  <si>
    <t>1e  Gressfederzinkenegge, 6 m</t>
  </si>
  <si>
    <t>1l  Einzelkornsämasch. f. Rüben, 12-reihig</t>
  </si>
  <si>
    <t>3a  Anh. 2-achsig, 5 t, hydr. kippbar in Fuder</t>
  </si>
  <si>
    <t>1h  Kreiselegge mit Packerwalze, 3 m</t>
  </si>
  <si>
    <t>1k  Einzelkornsämaschine für Direktsaat, 6 Reihen, 3 m</t>
  </si>
  <si>
    <t>2b  Hackstriegel, 6 m</t>
  </si>
  <si>
    <t>Risiko Ertragsausfall : 1 Jahr von 10
Trocknungskosten = 0.44 CHF/dt + 0.60 CHF je % Feuchtigkeit</t>
  </si>
  <si>
    <t>Freie Variante (Ackerbohnen)</t>
  </si>
  <si>
    <r>
      <rPr>
        <b/>
        <sz val="11"/>
        <rFont val="Calibri"/>
        <family val="2"/>
        <scheme val="minor"/>
      </rPr>
      <t xml:space="preserve">1m </t>
    </r>
    <r>
      <rPr>
        <sz val="11"/>
        <rFont val="Calibri"/>
        <family val="2"/>
        <scheme val="minor"/>
      </rPr>
      <t xml:space="preserve"> Sämaschine mit Fahrgassenschaltung, 3 m</t>
    </r>
  </si>
  <si>
    <r>
      <rPr>
        <b/>
        <sz val="11"/>
        <rFont val="Calibri"/>
        <family val="2"/>
        <scheme val="minor"/>
      </rPr>
      <t xml:space="preserve">1n </t>
    </r>
    <r>
      <rPr>
        <sz val="11"/>
        <rFont val="Calibri"/>
        <family val="2"/>
        <scheme val="minor"/>
      </rPr>
      <t xml:space="preserve"> Bestellkombination: Zapfwellenegge + Sämaschine, 3m</t>
    </r>
  </si>
  <si>
    <r>
      <rPr>
        <b/>
        <sz val="11"/>
        <rFont val="Calibri"/>
        <family val="2"/>
        <scheme val="minor"/>
      </rPr>
      <t>3e</t>
    </r>
    <r>
      <rPr>
        <sz val="11"/>
        <rFont val="Calibri"/>
        <family val="2"/>
        <scheme val="minor"/>
      </rPr>
      <t xml:space="preserve">  Mähdrescher, 150 kW, 4.8–5.2 m (ohne Rapsschneidvorsatz)</t>
    </r>
  </si>
  <si>
    <r>
      <rPr>
        <b/>
        <sz val="11"/>
        <rFont val="Calibri"/>
        <family val="2"/>
        <scheme val="minor"/>
      </rPr>
      <t>3g</t>
    </r>
    <r>
      <rPr>
        <sz val="11"/>
        <rFont val="Calibri"/>
        <family val="2"/>
        <scheme val="minor"/>
      </rPr>
      <t xml:space="preserve">  Mähdrescher, 150 kW, 4.8–5.2 m (mit Rapsschneidvorsatz)</t>
    </r>
  </si>
  <si>
    <r>
      <rPr>
        <b/>
        <sz val="11"/>
        <rFont val="Calibri"/>
        <family val="2"/>
        <scheme val="minor"/>
      </rPr>
      <t xml:space="preserve">3f </t>
    </r>
    <r>
      <rPr>
        <sz val="11"/>
        <rFont val="Calibri"/>
        <family val="2"/>
        <scheme val="minor"/>
      </rPr>
      <t xml:space="preserve"> Mähdrescher, 257 kW, 6 - 7 m (ohne Rapsschneidvorsatz)</t>
    </r>
  </si>
  <si>
    <r>
      <rPr>
        <b/>
        <sz val="11"/>
        <rFont val="Calibri"/>
        <family val="2"/>
        <scheme val="minor"/>
      </rPr>
      <t xml:space="preserve">3h </t>
    </r>
    <r>
      <rPr>
        <sz val="11"/>
        <rFont val="Calibri"/>
        <family val="2"/>
        <scheme val="minor"/>
      </rPr>
      <t xml:space="preserve"> Mähdrescher, 257 kW, 6 - 7 m (mit Rapsschneidvorsatz)</t>
    </r>
  </si>
  <si>
    <t>3f  Mähdrescher, 257 kW, 6 - 7 m (ohne Rapsschneidvorsatz)</t>
  </si>
  <si>
    <t>Deckungsbeitragsrechner für Biosoja 
(Speisesoja und Futtersoja)</t>
  </si>
  <si>
    <t>Druchf.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</si>
</sst>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00\ _f_r_._-;\-* #,##0.00\ _f_r_._-;_-* &quot;-&quot;??\ _f_r_._-;_-@_-"/>
    <numFmt numFmtId="165" formatCode="0\ &quot;dt&quot;"/>
    <numFmt numFmtId="166" formatCode="0\ &quot;Mt.&quot;"/>
    <numFmt numFmtId="167" formatCode="\ \ @"/>
    <numFmt numFmtId="168" formatCode="0%\ &quot;Feuchtigkeit&quot;"/>
    <numFmt numFmtId="169" formatCode="0.0%"/>
    <numFmt numFmtId="170" formatCode="0.0"/>
    <numFmt numFmtId="171" formatCode="0\ &quot;Monate&quot;"/>
    <numFmt numFmtId="172" formatCode="#,##0.0"/>
    <numFmt numFmtId="173" formatCode="0\ &quot;Fr./h&quot;"/>
    <numFmt numFmtId="174" formatCode="_ * #,##0_ ;_ * \-#,##0_ ;_ * &quot;-&quot;??_ ;_ @_ "/>
    <numFmt numFmtId="175" formatCode="0\ &quot;CHF/h&quot;"/>
  </numFmts>
  <fonts count="46" x14ac:knownFonts="1">
    <font>
      <sz val="11"/>
      <color theme="1"/>
      <name val="Calibri"/>
      <family val="2"/>
      <scheme val="minor"/>
    </font>
    <font>
      <sz val="10"/>
      <name val="Helvetica"/>
    </font>
    <font>
      <sz val="9"/>
      <name val="Helvetica"/>
      <family val="2"/>
    </font>
    <font>
      <sz val="10"/>
      <name val="Helvetica"/>
      <family val="2"/>
    </font>
    <font>
      <sz val="10"/>
      <name val="Arial"/>
      <family val="2"/>
    </font>
    <font>
      <b/>
      <sz val="12"/>
      <name val="Helvetica"/>
      <family val="2"/>
    </font>
    <font>
      <sz val="14"/>
      <name val="Helvetica"/>
      <family val="2"/>
    </font>
    <font>
      <sz val="8"/>
      <color indexed="81"/>
      <name val="Tahoma"/>
      <family val="2"/>
    </font>
    <font>
      <b/>
      <sz val="14"/>
      <name val="Arial"/>
      <family val="2"/>
    </font>
    <font>
      <b/>
      <sz val="12"/>
      <name val="Arial"/>
      <family val="2"/>
    </font>
    <font>
      <b/>
      <sz val="10"/>
      <name val="Arial"/>
      <family val="2"/>
    </font>
    <font>
      <sz val="8"/>
      <name val="Arial"/>
      <family val="2"/>
    </font>
    <font>
      <b/>
      <sz val="9"/>
      <name val="Arial"/>
      <family val="2"/>
    </font>
    <font>
      <sz val="9"/>
      <name val="Arial"/>
      <family val="2"/>
    </font>
    <font>
      <i/>
      <sz val="9"/>
      <name val="Arial"/>
      <family val="2"/>
    </font>
    <font>
      <b/>
      <sz val="8"/>
      <name val="Arial"/>
      <family val="2"/>
    </font>
    <font>
      <sz val="7.5"/>
      <name val="Arial"/>
      <family val="2"/>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u/>
      <sz val="11"/>
      <color theme="10"/>
      <name val="Calibri"/>
      <family val="2"/>
      <scheme val="minor"/>
    </font>
    <font>
      <b/>
      <sz val="18"/>
      <color theme="1"/>
      <name val="Calibri"/>
      <family val="2"/>
      <scheme val="minor"/>
    </font>
    <font>
      <u/>
      <sz val="11"/>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b/>
      <sz val="14"/>
      <name val="Calibri"/>
      <family val="2"/>
      <scheme val="minor"/>
    </font>
    <font>
      <b/>
      <sz val="12"/>
      <name val="Calibri"/>
      <family val="2"/>
      <scheme val="minor"/>
    </font>
    <font>
      <b/>
      <sz val="11"/>
      <name val="Calibri"/>
      <family val="2"/>
      <scheme val="minor"/>
    </font>
    <font>
      <sz val="7.5"/>
      <name val="Calibri"/>
      <family val="2"/>
      <scheme val="minor"/>
    </font>
    <font>
      <sz val="8"/>
      <name val="Calibri"/>
      <family val="2"/>
      <scheme val="minor"/>
    </font>
    <font>
      <b/>
      <sz val="10"/>
      <name val="Calibri"/>
      <family val="2"/>
      <scheme val="minor"/>
    </font>
    <font>
      <sz val="9"/>
      <name val="Calibri"/>
      <family val="2"/>
      <scheme val="minor"/>
    </font>
    <font>
      <b/>
      <sz val="8"/>
      <name val="Calibri"/>
      <family val="2"/>
      <scheme val="minor"/>
    </font>
    <font>
      <b/>
      <sz val="9"/>
      <name val="Calibri"/>
      <family val="2"/>
      <scheme val="minor"/>
    </font>
    <font>
      <i/>
      <sz val="9"/>
      <name val="Calibri"/>
      <family val="2"/>
      <scheme val="minor"/>
    </font>
    <font>
      <sz val="11"/>
      <name val="Calibri"/>
      <family val="2"/>
      <scheme val="minor"/>
    </font>
    <font>
      <i/>
      <sz val="11"/>
      <name val="Calibri"/>
      <family val="2"/>
      <scheme val="minor"/>
    </font>
    <font>
      <b/>
      <sz val="18"/>
      <name val="Calibri"/>
      <family val="2"/>
      <scheme val="minor"/>
    </font>
    <font>
      <b/>
      <i/>
      <sz val="11"/>
      <name val="Calibri"/>
      <family val="2"/>
      <scheme val="minor"/>
    </font>
    <font>
      <sz val="12"/>
      <name val="Calibri"/>
      <family val="2"/>
      <scheme val="minor"/>
    </font>
    <font>
      <sz val="11"/>
      <color indexed="8"/>
      <name val="Calibri"/>
      <family val="2"/>
      <scheme val="minor"/>
    </font>
    <font>
      <sz val="11"/>
      <color indexed="12"/>
      <name val="Calibri"/>
      <family val="2"/>
      <scheme val="minor"/>
    </font>
    <font>
      <b/>
      <i/>
      <sz val="12"/>
      <name val="Calibri"/>
      <family val="2"/>
      <scheme val="minor"/>
    </font>
    <font>
      <sz val="12"/>
      <color theme="1"/>
      <name val="Calibri"/>
      <family val="2"/>
      <scheme val="minor"/>
    </font>
  </fonts>
  <fills count="17">
    <fill>
      <patternFill patternType="none"/>
    </fill>
    <fill>
      <patternFill patternType="gray125"/>
    </fill>
    <fill>
      <patternFill patternType="solid">
        <fgColor indexed="10"/>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theme="2"/>
        <bgColor indexed="64"/>
      </patternFill>
    </fill>
    <fill>
      <patternFill patternType="solid">
        <fgColor theme="2" tint="-0.249977111117893"/>
        <bgColor indexed="64"/>
      </patternFill>
    </fill>
    <fill>
      <patternFill patternType="solid">
        <fgColor indexed="23"/>
        <bgColor indexed="64"/>
      </patternFill>
    </fill>
    <fill>
      <patternFill patternType="solid">
        <fgColor rgb="FF92D050"/>
        <bgColor indexed="64"/>
      </patternFill>
    </fill>
    <fill>
      <patternFill patternType="solid">
        <fgColor rgb="FFFFFFCC"/>
        <bgColor indexed="64"/>
      </patternFill>
    </fill>
    <fill>
      <patternFill patternType="solid">
        <fgColor rgb="FF99FF99"/>
        <bgColor indexed="64"/>
      </patternFill>
    </fill>
    <fill>
      <patternFill patternType="solid">
        <fgColor rgb="FFE7E6E6"/>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9CCFF"/>
        <bgColor indexed="64"/>
      </patternFill>
    </fill>
  </fills>
  <borders count="59">
    <border>
      <left/>
      <right/>
      <top/>
      <bottom/>
      <diagonal/>
    </border>
    <border>
      <left/>
      <right/>
      <top/>
      <bottom style="thin">
        <color indexed="9"/>
      </bottom>
      <diagonal/>
    </border>
    <border>
      <left/>
      <right/>
      <top style="thin">
        <color indexed="9"/>
      </top>
      <bottom/>
      <diagonal/>
    </border>
    <border>
      <left/>
      <right/>
      <top style="thin">
        <color indexed="9"/>
      </top>
      <bottom style="thin">
        <color indexed="9"/>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5" tint="-0.24994659260841701"/>
      </left>
      <right style="thin">
        <color indexed="64"/>
      </right>
      <top/>
      <bottom style="thin">
        <color indexed="64"/>
      </bottom>
      <diagonal/>
    </border>
    <border>
      <left style="thin">
        <color theme="5" tint="-0.24994659260841701"/>
      </left>
      <right style="thin">
        <color indexed="64"/>
      </right>
      <top/>
      <bottom style="double">
        <color rgb="FFFF0000"/>
      </bottom>
      <diagonal/>
    </border>
    <border>
      <left/>
      <right style="thin">
        <color theme="0"/>
      </right>
      <top style="thin">
        <color theme="0"/>
      </top>
      <bottom style="thin">
        <color theme="0"/>
      </bottom>
      <diagonal/>
    </border>
    <border>
      <left/>
      <right/>
      <top/>
      <bottom style="thin">
        <color theme="0"/>
      </bottom>
      <diagonal/>
    </border>
    <border>
      <left/>
      <right/>
      <top style="thin">
        <color indexed="9"/>
      </top>
      <bottom style="thin">
        <color theme="0"/>
      </bottom>
      <diagonal/>
    </border>
    <border>
      <left/>
      <right style="thin">
        <color indexed="64"/>
      </right>
      <top/>
      <bottom style="double">
        <color rgb="FFFF0000"/>
      </bottom>
      <diagonal/>
    </border>
    <border>
      <left/>
      <right/>
      <top style="thin">
        <color theme="0"/>
      </top>
      <bottom style="thin">
        <color theme="0"/>
      </bottom>
      <diagonal/>
    </border>
    <border>
      <left/>
      <right/>
      <top style="thin">
        <color theme="0"/>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theme="0"/>
      </right>
      <top/>
      <bottom/>
      <diagonal/>
    </border>
    <border>
      <left/>
      <right style="thin">
        <color theme="0"/>
      </right>
      <top/>
      <bottom style="thin">
        <color indexed="9"/>
      </bottom>
      <diagonal/>
    </border>
    <border>
      <left/>
      <right style="thin">
        <color theme="0"/>
      </right>
      <top style="thin">
        <color indexed="9"/>
      </top>
      <bottom style="thin">
        <color indexed="9"/>
      </bottom>
      <diagonal/>
    </border>
    <border>
      <left/>
      <right style="thin">
        <color theme="0"/>
      </right>
      <top style="thin">
        <color indexed="9"/>
      </top>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bottom style="thin">
        <color indexed="9"/>
      </bottom>
      <diagonal/>
    </border>
    <border>
      <left style="thin">
        <color theme="0"/>
      </left>
      <right/>
      <top style="thin">
        <color indexed="9"/>
      </top>
      <bottom style="thin">
        <color indexed="9"/>
      </bottom>
      <diagonal/>
    </border>
    <border>
      <left style="thin">
        <color theme="0"/>
      </left>
      <right/>
      <top style="thin">
        <color indexed="9"/>
      </top>
      <bottom/>
      <diagonal/>
    </border>
  </borders>
  <cellStyleXfs count="15">
    <xf numFmtId="0" fontId="0" fillId="0" borderId="0"/>
    <xf numFmtId="0" fontId="1" fillId="0" borderId="0"/>
    <xf numFmtId="0" fontId="6" fillId="0" borderId="0"/>
    <xf numFmtId="0" fontId="2" fillId="0" borderId="0">
      <protection locked="0"/>
    </xf>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 fillId="0" borderId="0" applyNumberFormat="0" applyFont="0" applyBorder="0" applyAlignment="0" applyProtection="0">
      <alignment horizontal="left"/>
    </xf>
    <xf numFmtId="0" fontId="4" fillId="0" borderId="0"/>
    <xf numFmtId="164" fontId="4" fillId="0" borderId="0" applyFont="0" applyFill="0" applyBorder="0" applyAlignment="0" applyProtection="0"/>
    <xf numFmtId="0" fontId="18" fillId="0" borderId="0"/>
    <xf numFmtId="9" fontId="20" fillId="0" borderId="0" applyFont="0" applyFill="0" applyBorder="0" applyAlignment="0" applyProtection="0"/>
    <xf numFmtId="0" fontId="21" fillId="0" borderId="0" applyNumberFormat="0" applyFill="0" applyBorder="0" applyAlignment="0" applyProtection="0"/>
    <xf numFmtId="43" fontId="20" fillId="0" borderId="0" applyFont="0" applyFill="0" applyBorder="0" applyAlignment="0" applyProtection="0"/>
  </cellStyleXfs>
  <cellXfs count="447">
    <xf numFmtId="0" fontId="0" fillId="0" borderId="0" xfId="0"/>
    <xf numFmtId="167" fontId="14" fillId="0" borderId="21" xfId="7" applyNumberFormat="1" applyFont="1" applyBorder="1" applyAlignment="1" applyProtection="1">
      <alignment vertical="center"/>
    </xf>
    <xf numFmtId="167" fontId="14" fillId="0" borderId="22" xfId="7" applyNumberFormat="1" applyFont="1" applyBorder="1" applyAlignment="1" applyProtection="1">
      <alignment vertical="center"/>
    </xf>
    <xf numFmtId="0" fontId="17" fillId="0" borderId="16" xfId="0" applyFont="1" applyBorder="1"/>
    <xf numFmtId="0" fontId="4" fillId="0" borderId="0" xfId="11" applyFont="1" applyAlignment="1" applyProtection="1">
      <alignment horizontal="center"/>
    </xf>
    <xf numFmtId="0" fontId="9" fillId="0" borderId="0" xfId="11" applyNumberFormat="1" applyFont="1" applyFill="1" applyBorder="1" applyAlignment="1" applyProtection="1">
      <alignment vertical="center"/>
    </xf>
    <xf numFmtId="0" fontId="9" fillId="0" borderId="0" xfId="11" applyNumberFormat="1" applyFont="1" applyFill="1" applyBorder="1" applyAlignment="1" applyProtection="1">
      <alignment horizontal="center"/>
    </xf>
    <xf numFmtId="0" fontId="9" fillId="2" borderId="0" xfId="11" applyNumberFormat="1" applyFont="1" applyFill="1" applyBorder="1" applyAlignment="1" applyProtection="1">
      <alignment vertical="center"/>
    </xf>
    <xf numFmtId="0" fontId="13" fillId="2" borderId="4" xfId="11" applyNumberFormat="1" applyFont="1" applyFill="1" applyBorder="1" applyAlignment="1" applyProtection="1">
      <alignment horizontal="center"/>
    </xf>
    <xf numFmtId="4" fontId="9" fillId="0" borderId="0" xfId="11" applyNumberFormat="1" applyFont="1" applyFill="1" applyAlignment="1" applyProtection="1">
      <alignment horizontal="center"/>
    </xf>
    <xf numFmtId="0" fontId="9" fillId="0" borderId="0" xfId="11" applyNumberFormat="1" applyFont="1" applyFill="1" applyAlignment="1" applyProtection="1">
      <alignment horizontal="center"/>
    </xf>
    <xf numFmtId="3" fontId="9" fillId="0" borderId="0" xfId="11" applyNumberFormat="1" applyFont="1" applyFill="1" applyAlignment="1" applyProtection="1">
      <alignment horizontal="center"/>
    </xf>
    <xf numFmtId="172" fontId="9" fillId="0" borderId="0" xfId="11" applyNumberFormat="1" applyFont="1" applyFill="1" applyAlignment="1" applyProtection="1">
      <alignment horizontal="center"/>
    </xf>
    <xf numFmtId="172" fontId="9" fillId="0" borderId="0" xfId="11" applyNumberFormat="1" applyFont="1" applyFill="1" applyBorder="1" applyAlignment="1" applyProtection="1">
      <alignment horizontal="center"/>
    </xf>
    <xf numFmtId="0" fontId="9" fillId="0" borderId="0" xfId="11" applyFont="1" applyFill="1" applyAlignment="1" applyProtection="1">
      <alignment horizontal="center"/>
    </xf>
    <xf numFmtId="0" fontId="9" fillId="0" borderId="0" xfId="11" applyFont="1" applyFill="1" applyAlignment="1" applyProtection="1">
      <alignment horizontal="left"/>
    </xf>
    <xf numFmtId="0" fontId="15" fillId="8" borderId="6" xfId="11" applyNumberFormat="1" applyFont="1" applyFill="1" applyBorder="1" applyAlignment="1" applyProtection="1">
      <alignment horizontal="center" vertical="center"/>
    </xf>
    <xf numFmtId="0" fontId="15" fillId="8" borderId="6" xfId="11" applyNumberFormat="1" applyFont="1" applyFill="1" applyBorder="1" applyAlignment="1" applyProtection="1">
      <alignment horizontal="left" vertical="center"/>
    </xf>
    <xf numFmtId="4" fontId="15" fillId="8" borderId="7" xfId="11" applyNumberFormat="1" applyFont="1" applyFill="1" applyBorder="1" applyAlignment="1" applyProtection="1">
      <alignment horizontal="centerContinuous" vertical="center"/>
    </xf>
    <xf numFmtId="172" fontId="15" fillId="8" borderId="8" xfId="11" applyNumberFormat="1" applyFont="1" applyFill="1" applyBorder="1" applyAlignment="1" applyProtection="1">
      <alignment horizontal="centerContinuous" vertical="center"/>
    </xf>
    <xf numFmtId="3" fontId="15" fillId="8" borderId="12" xfId="11" applyNumberFormat="1" applyFont="1" applyFill="1" applyBorder="1" applyAlignment="1" applyProtection="1">
      <alignment horizontal="centerContinuous" vertical="center"/>
    </xf>
    <xf numFmtId="172" fontId="15" fillId="8" borderId="13" xfId="11" applyNumberFormat="1" applyFont="1" applyFill="1" applyBorder="1" applyAlignment="1" applyProtection="1">
      <alignment horizontal="centerContinuous" vertical="center"/>
    </xf>
    <xf numFmtId="172" fontId="15" fillId="8" borderId="14" xfId="11" applyNumberFormat="1" applyFont="1" applyFill="1" applyBorder="1" applyAlignment="1" applyProtection="1">
      <alignment horizontal="centerContinuous" vertical="center"/>
    </xf>
    <xf numFmtId="0" fontId="15" fillId="0" borderId="0" xfId="11" applyFont="1" applyFill="1" applyAlignment="1" applyProtection="1">
      <alignment horizontal="center" vertical="center"/>
    </xf>
    <xf numFmtId="0" fontId="15" fillId="0" borderId="0" xfId="11" applyFont="1" applyFill="1" applyAlignment="1" applyProtection="1">
      <alignment horizontal="left" vertical="center"/>
    </xf>
    <xf numFmtId="0" fontId="15" fillId="8" borderId="11" xfId="11" applyNumberFormat="1" applyFont="1" applyFill="1" applyBorder="1" applyAlignment="1" applyProtection="1">
      <alignment horizontal="center" vertical="center"/>
    </xf>
    <xf numFmtId="0" fontId="15" fillId="8" borderId="11" xfId="11" applyNumberFormat="1" applyFont="1" applyFill="1" applyBorder="1" applyAlignment="1" applyProtection="1">
      <alignment horizontal="left" vertical="center"/>
    </xf>
    <xf numFmtId="0" fontId="16" fillId="8" borderId="11" xfId="11" applyNumberFormat="1" applyFont="1" applyFill="1" applyBorder="1" applyAlignment="1" applyProtection="1">
      <alignment horizontal="center" vertical="center" wrapText="1"/>
    </xf>
    <xf numFmtId="4" fontId="16" fillId="8" borderId="4" xfId="11" applyNumberFormat="1" applyFont="1" applyFill="1" applyBorder="1" applyAlignment="1" applyProtection="1">
      <alignment horizontal="center" vertical="center" wrapText="1"/>
    </xf>
    <xf numFmtId="172" fontId="16" fillId="8" borderId="4" xfId="11" applyNumberFormat="1" applyFont="1" applyFill="1" applyBorder="1" applyAlignment="1" applyProtection="1">
      <alignment horizontal="center" vertical="center" wrapText="1"/>
    </xf>
    <xf numFmtId="3" fontId="16" fillId="8" borderId="5" xfId="11" applyNumberFormat="1" applyFont="1" applyFill="1" applyBorder="1" applyAlignment="1" applyProtection="1">
      <alignment horizontal="center" vertical="center" wrapText="1"/>
    </xf>
    <xf numFmtId="0" fontId="11" fillId="0" borderId="0" xfId="11" applyFont="1" applyFill="1" applyAlignment="1" applyProtection="1">
      <alignment horizontal="center" vertical="center"/>
    </xf>
    <xf numFmtId="14" fontId="11" fillId="0" borderId="0" xfId="11" applyNumberFormat="1" applyFont="1" applyFill="1" applyAlignment="1" applyProtection="1">
      <alignment horizontal="left" vertical="center"/>
    </xf>
    <xf numFmtId="0" fontId="11" fillId="0" borderId="0" xfId="11" applyFont="1" applyFill="1" applyAlignment="1" applyProtection="1">
      <alignment horizontal="left" vertical="center"/>
    </xf>
    <xf numFmtId="0" fontId="15" fillId="3" borderId="11" xfId="11" applyNumberFormat="1" applyFont="1" applyFill="1" applyBorder="1" applyAlignment="1" applyProtection="1">
      <alignment horizontal="center" vertical="center"/>
    </xf>
    <xf numFmtId="0" fontId="15" fillId="2" borderId="11" xfId="11" applyNumberFormat="1" applyFont="1" applyFill="1" applyBorder="1" applyAlignment="1" applyProtection="1">
      <alignment horizontal="left" vertical="center"/>
    </xf>
    <xf numFmtId="0" fontId="10" fillId="0" borderId="10" xfId="11" applyFont="1" applyBorder="1" applyAlignment="1" applyProtection="1">
      <alignment horizontal="center"/>
    </xf>
    <xf numFmtId="0" fontId="10" fillId="0" borderId="10" xfId="11" applyFont="1" applyBorder="1" applyAlignment="1" applyProtection="1">
      <alignment horizontal="left"/>
    </xf>
    <xf numFmtId="0" fontId="10" fillId="0" borderId="0" xfId="11" applyFont="1" applyFill="1" applyBorder="1" applyAlignment="1" applyProtection="1">
      <alignment horizontal="left"/>
    </xf>
    <xf numFmtId="0" fontId="13" fillId="0" borderId="0" xfId="11" applyFont="1" applyFill="1" applyAlignment="1" applyProtection="1">
      <alignment horizontal="left"/>
    </xf>
    <xf numFmtId="0" fontId="13" fillId="0" borderId="0" xfId="11" applyFont="1" applyFill="1" applyBorder="1" applyAlignment="1" applyProtection="1">
      <alignment horizontal="left"/>
    </xf>
    <xf numFmtId="0" fontId="10" fillId="0" borderId="6" xfId="11" applyFont="1" applyBorder="1" applyAlignment="1" applyProtection="1">
      <alignment horizontal="center"/>
    </xf>
    <xf numFmtId="0" fontId="10" fillId="0" borderId="6" xfId="11" applyFont="1" applyBorder="1" applyAlignment="1" applyProtection="1">
      <alignment horizontal="left"/>
    </xf>
    <xf numFmtId="0" fontId="11" fillId="0" borderId="0" xfId="11" applyNumberFormat="1" applyFont="1" applyFill="1" applyBorder="1" applyAlignment="1" applyProtection="1">
      <alignment horizontal="center"/>
    </xf>
    <xf numFmtId="0" fontId="13" fillId="0" borderId="0" xfId="11" applyNumberFormat="1" applyFont="1" applyFill="1" applyBorder="1" applyAlignment="1" applyProtection="1">
      <alignment horizontal="left"/>
    </xf>
    <xf numFmtId="0" fontId="13" fillId="0" borderId="0" xfId="11" applyFont="1" applyFill="1" applyAlignment="1" applyProtection="1">
      <alignment horizontal="center"/>
    </xf>
    <xf numFmtId="0" fontId="10" fillId="0" borderId="6" xfId="11" applyFont="1" applyFill="1" applyBorder="1" applyAlignment="1" applyProtection="1">
      <alignment horizontal="left"/>
    </xf>
    <xf numFmtId="0" fontId="12" fillId="0" borderId="0" xfId="11" applyFont="1" applyFill="1" applyAlignment="1" applyProtection="1">
      <alignment horizontal="left"/>
    </xf>
    <xf numFmtId="0" fontId="13" fillId="0" borderId="0" xfId="11" applyNumberFormat="1" applyFont="1" applyFill="1" applyBorder="1" applyAlignment="1" applyProtection="1">
      <alignment horizontal="center"/>
    </xf>
    <xf numFmtId="0" fontId="12" fillId="0" borderId="0" xfId="11" applyNumberFormat="1" applyFont="1" applyFill="1" applyBorder="1" applyAlignment="1" applyProtection="1">
      <alignment horizontal="center"/>
    </xf>
    <xf numFmtId="0" fontId="13" fillId="0" borderId="0" xfId="11" applyNumberFormat="1" applyFont="1" applyFill="1" applyAlignment="1" applyProtection="1">
      <alignment horizontal="center"/>
    </xf>
    <xf numFmtId="3" fontId="13" fillId="0" borderId="0" xfId="11" applyNumberFormat="1" applyFont="1" applyFill="1" applyAlignment="1" applyProtection="1">
      <alignment horizontal="center"/>
    </xf>
    <xf numFmtId="172" fontId="13" fillId="0" borderId="0" xfId="11" applyNumberFormat="1" applyFont="1" applyFill="1" applyAlignment="1" applyProtection="1">
      <alignment horizontal="center"/>
    </xf>
    <xf numFmtId="172" fontId="13" fillId="0" borderId="0" xfId="11" applyNumberFormat="1" applyFont="1" applyFill="1" applyBorder="1" applyAlignment="1" applyProtection="1">
      <alignment horizontal="center"/>
    </xf>
    <xf numFmtId="4" fontId="13" fillId="0" borderId="0" xfId="11" applyNumberFormat="1" applyFont="1" applyFill="1" applyAlignment="1" applyProtection="1">
      <alignment horizontal="center"/>
    </xf>
    <xf numFmtId="0" fontId="13" fillId="2" borderId="0" xfId="11" applyNumberFormat="1" applyFont="1" applyFill="1" applyBorder="1" applyAlignment="1" applyProtection="1">
      <alignment horizontal="center"/>
    </xf>
    <xf numFmtId="0" fontId="12" fillId="2" borderId="0" xfId="11" applyNumberFormat="1" applyFont="1" applyFill="1" applyBorder="1" applyAlignment="1" applyProtection="1">
      <alignment horizontal="center"/>
    </xf>
    <xf numFmtId="0" fontId="14" fillId="0" borderId="0" xfId="11" applyNumberFormat="1" applyFont="1" applyFill="1" applyBorder="1" applyAlignment="1" applyProtection="1">
      <alignment horizontal="center"/>
    </xf>
    <xf numFmtId="0" fontId="14" fillId="0" borderId="0" xfId="11" applyFont="1" applyFill="1" applyAlignment="1" applyProtection="1">
      <alignment horizontal="left"/>
    </xf>
    <xf numFmtId="0" fontId="13" fillId="2" borderId="0" xfId="11" applyNumberFormat="1" applyFont="1" applyFill="1" applyBorder="1" applyAlignment="1" applyProtection="1">
      <alignment horizontal="left"/>
    </xf>
    <xf numFmtId="0" fontId="12" fillId="2" borderId="0" xfId="11" applyNumberFormat="1" applyFont="1" applyFill="1" applyBorder="1" applyAlignment="1" applyProtection="1">
      <alignment horizontal="left"/>
    </xf>
    <xf numFmtId="0" fontId="14" fillId="2" borderId="0" xfId="11" applyNumberFormat="1" applyFont="1" applyFill="1" applyBorder="1" applyAlignment="1" applyProtection="1">
      <alignment horizontal="left"/>
    </xf>
    <xf numFmtId="0" fontId="14" fillId="2" borderId="0" xfId="11" applyNumberFormat="1" applyFont="1" applyFill="1" applyBorder="1" applyAlignment="1" applyProtection="1">
      <alignment horizontal="center"/>
    </xf>
    <xf numFmtId="0" fontId="15" fillId="8" borderId="0" xfId="11" applyNumberFormat="1" applyFont="1" applyFill="1" applyBorder="1" applyAlignment="1" applyProtection="1">
      <alignment horizontal="center" vertical="center"/>
    </xf>
    <xf numFmtId="0" fontId="16" fillId="8" borderId="0" xfId="11" applyNumberFormat="1" applyFont="1" applyFill="1" applyBorder="1" applyAlignment="1" applyProtection="1">
      <alignment horizontal="center" vertical="center" wrapText="1"/>
    </xf>
    <xf numFmtId="0" fontId="13" fillId="9" borderId="10" xfId="11" applyFont="1" applyFill="1" applyBorder="1" applyAlignment="1" applyProtection="1">
      <alignment horizontal="center"/>
    </xf>
    <xf numFmtId="0" fontId="13" fillId="9" borderId="10" xfId="11" quotePrefix="1" applyNumberFormat="1" applyFont="1" applyFill="1" applyBorder="1" applyAlignment="1" applyProtection="1">
      <alignment horizontal="center"/>
    </xf>
    <xf numFmtId="0" fontId="9" fillId="0" borderId="0" xfId="7" applyFont="1" applyFill="1" applyBorder="1" applyAlignment="1" applyProtection="1">
      <alignment horizontal="center" vertical="center" wrapText="1"/>
    </xf>
    <xf numFmtId="0" fontId="13" fillId="10" borderId="19" xfId="11" applyFont="1" applyFill="1" applyBorder="1" applyAlignment="1" applyProtection="1">
      <alignment horizontal="left"/>
    </xf>
    <xf numFmtId="0" fontId="13" fillId="10" borderId="6" xfId="11" applyFont="1" applyFill="1" applyBorder="1" applyAlignment="1" applyProtection="1">
      <alignment horizontal="left"/>
    </xf>
    <xf numFmtId="0" fontId="11" fillId="10" borderId="11" xfId="11" applyNumberFormat="1" applyFont="1" applyFill="1" applyBorder="1" applyAlignment="1" applyProtection="1">
      <alignment horizontal="center"/>
    </xf>
    <xf numFmtId="0" fontId="11" fillId="10" borderId="19" xfId="11" applyNumberFormat="1" applyFont="1" applyFill="1" applyBorder="1" applyAlignment="1" applyProtection="1">
      <alignment horizontal="center"/>
    </xf>
    <xf numFmtId="0" fontId="16" fillId="2" borderId="5" xfId="11" applyNumberFormat="1" applyFont="1" applyFill="1" applyBorder="1" applyAlignment="1" applyProtection="1">
      <alignment horizontal="center" vertical="center" wrapText="1"/>
    </xf>
    <xf numFmtId="0" fontId="10" fillId="0" borderId="9" xfId="11" applyFont="1" applyBorder="1" applyAlignment="1" applyProtection="1">
      <alignment horizontal="center"/>
    </xf>
    <xf numFmtId="0" fontId="11" fillId="5" borderId="9" xfId="11" applyNumberFormat="1" applyFont="1" applyFill="1" applyBorder="1" applyAlignment="1" applyProtection="1">
      <alignment horizontal="center"/>
    </xf>
    <xf numFmtId="0" fontId="10" fillId="0" borderId="7" xfId="11" applyFont="1" applyBorder="1" applyAlignment="1" applyProtection="1">
      <alignment horizontal="center"/>
    </xf>
    <xf numFmtId="0" fontId="11" fillId="10" borderId="45" xfId="11" applyNumberFormat="1" applyFont="1" applyFill="1" applyBorder="1" applyAlignment="1" applyProtection="1">
      <alignment horizontal="center"/>
    </xf>
    <xf numFmtId="0" fontId="8" fillId="0" borderId="0" xfId="11" applyNumberFormat="1" applyFont="1" applyFill="1" applyBorder="1" applyAlignment="1" applyProtection="1"/>
    <xf numFmtId="0" fontId="0" fillId="0" borderId="0" xfId="0" applyProtection="1"/>
    <xf numFmtId="0" fontId="0" fillId="0" borderId="0" xfId="0" applyFill="1" applyProtection="1"/>
    <xf numFmtId="0" fontId="19" fillId="0" borderId="15" xfId="0" applyFont="1" applyBorder="1" applyProtection="1"/>
    <xf numFmtId="0" fontId="19" fillId="0" borderId="20" xfId="0" applyFont="1" applyBorder="1" applyProtection="1"/>
    <xf numFmtId="0" fontId="0" fillId="0" borderId="0" xfId="0" applyBorder="1" applyProtection="1"/>
    <xf numFmtId="0" fontId="0" fillId="0" borderId="17" xfId="0" applyBorder="1" applyProtection="1"/>
    <xf numFmtId="0" fontId="0" fillId="0" borderId="23" xfId="0" applyBorder="1" applyProtection="1"/>
    <xf numFmtId="0" fontId="19" fillId="0" borderId="18" xfId="0" applyFont="1" applyBorder="1" applyProtection="1"/>
    <xf numFmtId="0" fontId="0" fillId="0" borderId="0" xfId="0" applyFill="1" applyBorder="1" applyProtection="1"/>
    <xf numFmtId="0" fontId="19" fillId="0" borderId="28" xfId="0" applyFont="1" applyBorder="1" applyProtection="1"/>
    <xf numFmtId="0" fontId="19" fillId="0" borderId="24" xfId="0" applyFont="1" applyBorder="1" applyProtection="1"/>
    <xf numFmtId="0" fontId="19" fillId="0" borderId="17" xfId="0" applyFont="1" applyBorder="1" applyProtection="1"/>
    <xf numFmtId="3" fontId="0" fillId="0" borderId="0" xfId="0" applyNumberFormat="1" applyProtection="1"/>
    <xf numFmtId="3" fontId="0" fillId="0" borderId="0" xfId="0" applyNumberFormat="1" applyFill="1" applyProtection="1"/>
    <xf numFmtId="0" fontId="10" fillId="0" borderId="8" xfId="11" applyFont="1" applyBorder="1" applyAlignment="1" applyProtection="1">
      <alignment horizontal="center"/>
    </xf>
    <xf numFmtId="0" fontId="10" fillId="0" borderId="8" xfId="11" applyFont="1" applyFill="1" applyBorder="1" applyAlignment="1" applyProtection="1">
      <alignment horizontal="left"/>
    </xf>
    <xf numFmtId="0" fontId="10" fillId="0" borderId="9" xfId="0" applyNumberFormat="1" applyFont="1" applyFill="1" applyBorder="1" applyAlignment="1" applyProtection="1">
      <alignment horizontal="left"/>
    </xf>
    <xf numFmtId="0" fontId="13" fillId="0" borderId="9" xfId="0" applyFont="1" applyFill="1" applyBorder="1" applyAlignment="1" applyProtection="1">
      <alignment horizontal="left"/>
    </xf>
    <xf numFmtId="0" fontId="13" fillId="5" borderId="9" xfId="0" applyFont="1" applyFill="1" applyBorder="1" applyProtection="1"/>
    <xf numFmtId="0" fontId="13" fillId="5" borderId="5" xfId="0" applyFont="1" applyFill="1" applyBorder="1" applyProtection="1"/>
    <xf numFmtId="0" fontId="4" fillId="0" borderId="0" xfId="11" applyFont="1" applyProtection="1"/>
    <xf numFmtId="0" fontId="0" fillId="0" borderId="0" xfId="0" applyAlignment="1">
      <alignment horizontal="left"/>
    </xf>
    <xf numFmtId="0" fontId="0" fillId="14" borderId="0" xfId="0" applyFill="1"/>
    <xf numFmtId="0" fontId="0" fillId="14" borderId="0" xfId="0" applyFill="1" applyAlignment="1">
      <alignment horizontal="left" vertical="top" wrapText="1"/>
    </xf>
    <xf numFmtId="0" fontId="24" fillId="14" borderId="0" xfId="0" applyFont="1" applyFill="1"/>
    <xf numFmtId="0" fontId="0" fillId="14" borderId="0" xfId="0" quotePrefix="1" applyFill="1" applyAlignment="1">
      <alignment horizontal="left" indent="1"/>
    </xf>
    <xf numFmtId="0" fontId="0" fillId="14" borderId="0" xfId="0" quotePrefix="1" applyFill="1" applyAlignment="1">
      <alignment horizontal="left" indent="4"/>
    </xf>
    <xf numFmtId="0" fontId="0" fillId="14" borderId="0" xfId="0" applyFill="1" applyAlignment="1">
      <alignment horizontal="left" indent="4"/>
    </xf>
    <xf numFmtId="0" fontId="0" fillId="15" borderId="0" xfId="0" applyFill="1"/>
    <xf numFmtId="0" fontId="24" fillId="15" borderId="0" xfId="0" applyFont="1" applyFill="1"/>
    <xf numFmtId="0" fontId="0" fillId="0" borderId="0" xfId="0" applyFill="1"/>
    <xf numFmtId="0" fontId="0" fillId="16" borderId="0" xfId="0" applyFill="1"/>
    <xf numFmtId="0" fontId="0" fillId="0" borderId="0" xfId="0" applyFill="1" applyAlignment="1">
      <alignment horizontal="left" wrapText="1"/>
    </xf>
    <xf numFmtId="0" fontId="0" fillId="9" borderId="0" xfId="0" applyFill="1" applyAlignment="1">
      <alignment horizontal="left" wrapText="1"/>
    </xf>
    <xf numFmtId="0" fontId="9" fillId="14" borderId="0" xfId="0" applyFont="1" applyFill="1"/>
    <xf numFmtId="0" fontId="27" fillId="0" borderId="0" xfId="11" applyNumberFormat="1" applyFont="1" applyFill="1" applyBorder="1" applyAlignment="1" applyProtection="1">
      <alignment vertical="center"/>
    </xf>
    <xf numFmtId="0" fontId="28" fillId="0" borderId="0" xfId="11" applyNumberFormat="1" applyFont="1" applyFill="1" applyBorder="1" applyAlignment="1" applyProtection="1">
      <alignment horizontal="center"/>
    </xf>
    <xf numFmtId="0" fontId="28" fillId="0" borderId="0" xfId="11" applyNumberFormat="1" applyFont="1" applyFill="1" applyAlignment="1" applyProtection="1">
      <alignment horizontal="center"/>
    </xf>
    <xf numFmtId="4" fontId="28" fillId="0" borderId="0" xfId="11" applyNumberFormat="1" applyFont="1" applyFill="1" applyAlignment="1" applyProtection="1">
      <alignment horizontal="center"/>
    </xf>
    <xf numFmtId="3" fontId="28" fillId="0" borderId="0" xfId="11" applyNumberFormat="1" applyFont="1" applyFill="1" applyAlignment="1" applyProtection="1">
      <alignment horizontal="center"/>
    </xf>
    <xf numFmtId="172" fontId="28" fillId="0" borderId="0" xfId="11" applyNumberFormat="1" applyFont="1" applyFill="1" applyAlignment="1" applyProtection="1">
      <alignment horizontal="center"/>
    </xf>
    <xf numFmtId="172" fontId="28" fillId="0" borderId="0" xfId="11" applyNumberFormat="1" applyFont="1" applyFill="1" applyBorder="1" applyAlignment="1" applyProtection="1">
      <alignment horizontal="center"/>
    </xf>
    <xf numFmtId="0" fontId="28" fillId="0" borderId="0" xfId="11" applyFont="1" applyFill="1" applyAlignment="1" applyProtection="1">
      <alignment horizontal="center"/>
    </xf>
    <xf numFmtId="0" fontId="28" fillId="0" borderId="0" xfId="11" applyFont="1" applyFill="1" applyAlignment="1" applyProtection="1">
      <alignment horizontal="left"/>
    </xf>
    <xf numFmtId="172" fontId="30" fillId="3" borderId="4" xfId="11" applyNumberFormat="1" applyFont="1" applyFill="1" applyBorder="1" applyAlignment="1" applyProtection="1">
      <alignment horizontal="center" vertical="center" wrapText="1"/>
    </xf>
    <xf numFmtId="0" fontId="30" fillId="3" borderId="11" xfId="11" applyNumberFormat="1" applyFont="1" applyFill="1" applyBorder="1" applyAlignment="1" applyProtection="1">
      <alignment horizontal="center" vertical="center" wrapText="1"/>
    </xf>
    <xf numFmtId="0" fontId="30" fillId="3" borderId="0" xfId="11" applyNumberFormat="1" applyFont="1" applyFill="1" applyBorder="1" applyAlignment="1" applyProtection="1">
      <alignment horizontal="center" vertical="center" wrapText="1"/>
    </xf>
    <xf numFmtId="0" fontId="31" fillId="0" borderId="0" xfId="11" applyFont="1" applyFill="1" applyAlignment="1" applyProtection="1">
      <alignment horizontal="center" vertical="center"/>
    </xf>
    <xf numFmtId="0" fontId="31" fillId="0" borderId="0" xfId="11" applyFont="1" applyFill="1" applyAlignment="1" applyProtection="1">
      <alignment horizontal="left" vertical="center"/>
    </xf>
    <xf numFmtId="172" fontId="32" fillId="0" borderId="0" xfId="11" applyNumberFormat="1" applyFont="1" applyFill="1" applyBorder="1" applyAlignment="1" applyProtection="1">
      <alignment horizontal="center"/>
    </xf>
    <xf numFmtId="172" fontId="32" fillId="0" borderId="0" xfId="11" applyNumberFormat="1" applyFont="1" applyBorder="1" applyAlignment="1" applyProtection="1">
      <alignment horizontal="center"/>
    </xf>
    <xf numFmtId="0" fontId="32" fillId="0" borderId="10" xfId="11" applyNumberFormat="1" applyFont="1" applyFill="1" applyBorder="1" applyAlignment="1" applyProtection="1">
      <alignment horizontal="center"/>
    </xf>
    <xf numFmtId="0" fontId="32" fillId="0" borderId="0" xfId="11" applyNumberFormat="1" applyFont="1" applyFill="1" applyBorder="1" applyAlignment="1" applyProtection="1">
      <alignment horizontal="center"/>
    </xf>
    <xf numFmtId="0" fontId="32" fillId="0" borderId="0" xfId="11" applyFont="1" applyFill="1" applyBorder="1" applyAlignment="1" applyProtection="1">
      <alignment horizontal="center"/>
    </xf>
    <xf numFmtId="0" fontId="32" fillId="0" borderId="0" xfId="11" applyFont="1" applyFill="1" applyBorder="1" applyAlignment="1" applyProtection="1">
      <alignment horizontal="left"/>
    </xf>
    <xf numFmtId="172" fontId="31" fillId="5" borderId="0" xfId="11" applyNumberFormat="1" applyFont="1" applyFill="1" applyBorder="1" applyAlignment="1" applyProtection="1">
      <alignment horizontal="center"/>
    </xf>
    <xf numFmtId="0" fontId="31" fillId="5" borderId="10" xfId="11" applyNumberFormat="1" applyFont="1" applyFill="1" applyBorder="1" applyAlignment="1" applyProtection="1">
      <alignment horizontal="center"/>
    </xf>
    <xf numFmtId="0" fontId="31" fillId="0" borderId="0" xfId="11" applyNumberFormat="1" applyFont="1" applyFill="1" applyBorder="1" applyAlignment="1" applyProtection="1">
      <alignment horizontal="center"/>
    </xf>
    <xf numFmtId="0" fontId="33" fillId="0" borderId="0" xfId="11" quotePrefix="1" applyFont="1" applyFill="1" applyAlignment="1" applyProtection="1">
      <alignment horizontal="center"/>
    </xf>
    <xf numFmtId="0" fontId="33" fillId="0" borderId="0" xfId="11" applyFont="1" applyFill="1" applyBorder="1" applyAlignment="1" applyProtection="1">
      <alignment horizontal="left"/>
    </xf>
    <xf numFmtId="172" fontId="34" fillId="0" borderId="8" xfId="11" applyNumberFormat="1" applyFont="1" applyFill="1" applyBorder="1" applyAlignment="1" applyProtection="1">
      <alignment horizontal="center"/>
    </xf>
    <xf numFmtId="172" fontId="34" fillId="0" borderId="8" xfId="11" applyNumberFormat="1" applyFont="1" applyBorder="1" applyAlignment="1" applyProtection="1">
      <alignment horizontal="center"/>
    </xf>
    <xf numFmtId="0" fontId="34" fillId="0" borderId="6" xfId="11" applyNumberFormat="1" applyFont="1" applyFill="1" applyBorder="1" applyAlignment="1" applyProtection="1">
      <alignment horizontal="center"/>
    </xf>
    <xf numFmtId="0" fontId="33" fillId="0" borderId="0" xfId="11" quotePrefix="1" applyFont="1" applyFill="1" applyAlignment="1" applyProtection="1">
      <alignment horizontal="left"/>
    </xf>
    <xf numFmtId="0" fontId="33" fillId="0" borderId="0" xfId="11" applyFont="1" applyFill="1" applyAlignment="1" applyProtection="1">
      <alignment horizontal="left"/>
    </xf>
    <xf numFmtId="0" fontId="33" fillId="0" borderId="0" xfId="11" quotePrefix="1" applyFont="1" applyFill="1" applyBorder="1" applyAlignment="1" applyProtection="1">
      <alignment horizontal="left"/>
    </xf>
    <xf numFmtId="0" fontId="33" fillId="0" borderId="0" xfId="0" quotePrefix="1" applyFont="1" applyFill="1" applyAlignment="1" applyProtection="1">
      <alignment horizontal="center"/>
    </xf>
    <xf numFmtId="0" fontId="33" fillId="0" borderId="0" xfId="0" applyFont="1" applyFill="1" applyAlignment="1" applyProtection="1">
      <alignment horizontal="left"/>
    </xf>
    <xf numFmtId="0" fontId="33" fillId="0" borderId="0" xfId="0" applyFont="1" applyFill="1" applyBorder="1" applyAlignment="1" applyProtection="1">
      <alignment horizontal="left"/>
    </xf>
    <xf numFmtId="0" fontId="34" fillId="0" borderId="8" xfId="11" applyNumberFormat="1" applyFont="1" applyFill="1" applyBorder="1" applyAlignment="1" applyProtection="1">
      <alignment horizontal="center"/>
    </xf>
    <xf numFmtId="172" fontId="33" fillId="0" borderId="0" xfId="11" applyNumberFormat="1" applyFont="1" applyFill="1" applyAlignment="1" applyProtection="1">
      <alignment horizontal="center"/>
    </xf>
    <xf numFmtId="3" fontId="33" fillId="0" borderId="0" xfId="11" applyNumberFormat="1" applyFont="1" applyFill="1" applyAlignment="1" applyProtection="1">
      <alignment horizontal="center"/>
    </xf>
    <xf numFmtId="172" fontId="33" fillId="0" borderId="0" xfId="11" applyNumberFormat="1" applyFont="1" applyFill="1" applyBorder="1" applyAlignment="1" applyProtection="1">
      <alignment horizontal="center"/>
    </xf>
    <xf numFmtId="0" fontId="33" fillId="0" borderId="0" xfId="11" applyNumberFormat="1" applyFont="1" applyFill="1" applyBorder="1" applyAlignment="1" applyProtection="1">
      <alignment horizontal="center"/>
    </xf>
    <xf numFmtId="0" fontId="33" fillId="0" borderId="0" xfId="11" applyFont="1" applyFill="1" applyAlignment="1" applyProtection="1">
      <alignment horizontal="center"/>
    </xf>
    <xf numFmtId="0" fontId="35" fillId="0" borderId="0" xfId="11" applyNumberFormat="1" applyFont="1" applyFill="1" applyBorder="1" applyAlignment="1" applyProtection="1">
      <alignment horizontal="center"/>
    </xf>
    <xf numFmtId="172" fontId="35" fillId="0" borderId="0" xfId="11" applyNumberFormat="1" applyFont="1" applyFill="1" applyAlignment="1" applyProtection="1">
      <alignment horizontal="center"/>
    </xf>
    <xf numFmtId="172" fontId="35" fillId="0" borderId="0" xfId="11" applyNumberFormat="1" applyFont="1" applyFill="1" applyBorder="1" applyAlignment="1" applyProtection="1">
      <alignment horizontal="center"/>
    </xf>
    <xf numFmtId="0" fontId="35" fillId="0" borderId="0" xfId="11" applyFont="1" applyFill="1" applyAlignment="1" applyProtection="1">
      <alignment horizontal="center"/>
    </xf>
    <xf numFmtId="0" fontId="35" fillId="0" borderId="0" xfId="11" applyFont="1" applyFill="1" applyAlignment="1" applyProtection="1">
      <alignment horizontal="left"/>
    </xf>
    <xf numFmtId="0" fontId="20" fillId="0" borderId="0" xfId="0" applyFont="1" applyProtection="1"/>
    <xf numFmtId="0" fontId="36" fillId="0" borderId="0" xfId="11" applyNumberFormat="1" applyFont="1" applyFill="1" applyBorder="1" applyAlignment="1" applyProtection="1">
      <alignment horizontal="center"/>
    </xf>
    <xf numFmtId="172" fontId="36" fillId="0" borderId="0" xfId="11" applyNumberFormat="1" applyFont="1" applyFill="1" applyAlignment="1" applyProtection="1">
      <alignment horizontal="center"/>
    </xf>
    <xf numFmtId="3" fontId="36" fillId="0" borderId="0" xfId="11" applyNumberFormat="1" applyFont="1" applyFill="1" applyAlignment="1" applyProtection="1">
      <alignment horizontal="center"/>
    </xf>
    <xf numFmtId="172" fontId="36" fillId="0" borderId="0" xfId="11" applyNumberFormat="1" applyFont="1" applyFill="1" applyBorder="1" applyAlignment="1" applyProtection="1">
      <alignment horizontal="center"/>
    </xf>
    <xf numFmtId="0" fontId="36" fillId="0" borderId="0" xfId="11" applyFont="1" applyFill="1" applyAlignment="1" applyProtection="1">
      <alignment horizontal="center"/>
    </xf>
    <xf numFmtId="0" fontId="36" fillId="0" borderId="0" xfId="11" applyFont="1" applyFill="1" applyAlignment="1" applyProtection="1">
      <alignment horizontal="left"/>
    </xf>
    <xf numFmtId="0" fontId="21" fillId="0" borderId="0" xfId="13" applyFont="1" applyProtection="1"/>
    <xf numFmtId="3" fontId="33" fillId="3" borderId="36" xfId="11" applyNumberFormat="1" applyFont="1" applyFill="1" applyBorder="1" applyAlignment="1" applyProtection="1">
      <alignment horizontal="center" vertical="center" wrapText="1"/>
    </xf>
    <xf numFmtId="3" fontId="33" fillId="3" borderId="37" xfId="11" applyNumberFormat="1" applyFont="1" applyFill="1" applyBorder="1" applyAlignment="1" applyProtection="1">
      <alignment horizontal="center" vertical="center" wrapText="1"/>
    </xf>
    <xf numFmtId="0" fontId="37" fillId="3" borderId="34" xfId="11" applyNumberFormat="1" applyFont="1" applyFill="1" applyBorder="1" applyAlignment="1" applyProtection="1">
      <alignment horizontal="center" vertical="center" wrapText="1"/>
    </xf>
    <xf numFmtId="0" fontId="29" fillId="0" borderId="38" xfId="11" applyFont="1" applyBorder="1" applyAlignment="1" applyProtection="1">
      <alignment horizontal="left"/>
    </xf>
    <xf numFmtId="0" fontId="29" fillId="0" borderId="19" xfId="11" applyFont="1" applyBorder="1" applyAlignment="1" applyProtection="1">
      <alignment horizontal="left"/>
    </xf>
    <xf numFmtId="0" fontId="29" fillId="0" borderId="31" xfId="11" applyNumberFormat="1" applyFont="1" applyBorder="1" applyAlignment="1" applyProtection="1">
      <alignment horizontal="center"/>
    </xf>
    <xf numFmtId="4" fontId="29" fillId="0" borderId="31" xfId="11" applyNumberFormat="1" applyFont="1" applyBorder="1" applyAlignment="1" applyProtection="1">
      <alignment horizontal="right"/>
    </xf>
    <xf numFmtId="3" fontId="29" fillId="0" borderId="32" xfId="11" applyNumberFormat="1" applyFont="1" applyBorder="1" applyAlignment="1" applyProtection="1">
      <alignment horizontal="center"/>
    </xf>
    <xf numFmtId="3" fontId="29" fillId="0" borderId="39" xfId="11" applyNumberFormat="1" applyFont="1" applyBorder="1" applyAlignment="1" applyProtection="1">
      <alignment horizontal="center"/>
    </xf>
    <xf numFmtId="0" fontId="37" fillId="0" borderId="40" xfId="11" applyFont="1" applyFill="1" applyBorder="1" applyAlignment="1" applyProtection="1">
      <alignment horizontal="left"/>
    </xf>
    <xf numFmtId="0" fontId="37" fillId="0" borderId="11" xfId="11" applyNumberFormat="1" applyFont="1" applyFill="1" applyBorder="1" applyAlignment="1" applyProtection="1">
      <alignment horizontal="center"/>
    </xf>
    <xf numFmtId="0" fontId="37" fillId="10" borderId="11" xfId="11" applyNumberFormat="1" applyFont="1" applyFill="1" applyBorder="1" applyAlignment="1" applyProtection="1">
      <alignment horizontal="center"/>
      <protection locked="0"/>
    </xf>
    <xf numFmtId="2" fontId="37" fillId="10" borderId="31" xfId="11" applyNumberFormat="1" applyFont="1" applyFill="1" applyBorder="1" applyAlignment="1" applyProtection="1">
      <alignment horizontal="center"/>
      <protection locked="0"/>
    </xf>
    <xf numFmtId="4" fontId="37" fillId="10" borderId="31" xfId="11" applyNumberFormat="1" applyFont="1" applyFill="1" applyBorder="1" applyAlignment="1" applyProtection="1">
      <alignment horizontal="right"/>
      <protection locked="0"/>
    </xf>
    <xf numFmtId="2" fontId="37" fillId="0" borderId="31" xfId="11" applyNumberFormat="1" applyFont="1" applyFill="1" applyBorder="1" applyAlignment="1" applyProtection="1">
      <alignment horizontal="center"/>
    </xf>
    <xf numFmtId="4" fontId="38" fillId="10" borderId="5" xfId="11" applyNumberFormat="1" applyFont="1" applyFill="1" applyBorder="1" applyAlignment="1" applyProtection="1">
      <alignment horizontal="right"/>
      <protection locked="0"/>
    </xf>
    <xf numFmtId="3" fontId="38" fillId="10" borderId="5" xfId="11" applyNumberFormat="1" applyFont="1" applyFill="1" applyBorder="1" applyAlignment="1" applyProtection="1">
      <alignment horizontal="center"/>
      <protection locked="0"/>
    </xf>
    <xf numFmtId="3" fontId="38" fillId="10" borderId="41" xfId="11" applyNumberFormat="1" applyFont="1" applyFill="1" applyBorder="1" applyAlignment="1" applyProtection="1">
      <alignment horizontal="center"/>
      <protection locked="0"/>
    </xf>
    <xf numFmtId="0" fontId="37" fillId="0" borderId="42" xfId="11" applyFont="1" applyFill="1" applyBorder="1" applyAlignment="1" applyProtection="1">
      <alignment horizontal="left"/>
    </xf>
    <xf numFmtId="0" fontId="37" fillId="0" borderId="19" xfId="11" applyNumberFormat="1" applyFont="1" applyFill="1" applyBorder="1" applyAlignment="1" applyProtection="1">
      <alignment horizontal="center"/>
    </xf>
    <xf numFmtId="0" fontId="37" fillId="10" borderId="19" xfId="11" applyNumberFormat="1" applyFont="1" applyFill="1" applyBorder="1" applyAlignment="1" applyProtection="1">
      <alignment horizontal="center"/>
      <protection locked="0"/>
    </xf>
    <xf numFmtId="4" fontId="38" fillId="10" borderId="32" xfId="11" applyNumberFormat="1" applyFont="1" applyFill="1" applyBorder="1" applyAlignment="1" applyProtection="1">
      <alignment horizontal="right"/>
      <protection locked="0"/>
    </xf>
    <xf numFmtId="3" fontId="38" fillId="10" borderId="32" xfId="11" applyNumberFormat="1" applyFont="1" applyFill="1" applyBorder="1" applyAlignment="1" applyProtection="1">
      <alignment horizontal="center"/>
      <protection locked="0"/>
    </xf>
    <xf numFmtId="3" fontId="38" fillId="10" borderId="39" xfId="11" applyNumberFormat="1" applyFont="1" applyFill="1" applyBorder="1" applyAlignment="1" applyProtection="1">
      <alignment horizontal="center"/>
      <protection locked="0"/>
    </xf>
    <xf numFmtId="0" fontId="29" fillId="0" borderId="40" xfId="11" applyFont="1" applyBorder="1" applyAlignment="1" applyProtection="1">
      <alignment horizontal="left"/>
    </xf>
    <xf numFmtId="0" fontId="29" fillId="0" borderId="10" xfId="11" applyFont="1" applyBorder="1" applyAlignment="1" applyProtection="1">
      <alignment horizontal="left"/>
    </xf>
    <xf numFmtId="0" fontId="29" fillId="0" borderId="0" xfId="11" applyNumberFormat="1" applyFont="1" applyBorder="1" applyAlignment="1" applyProtection="1">
      <alignment horizontal="center"/>
    </xf>
    <xf numFmtId="4" fontId="29" fillId="0" borderId="0" xfId="11" applyNumberFormat="1" applyFont="1" applyBorder="1" applyAlignment="1" applyProtection="1">
      <alignment horizontal="right"/>
    </xf>
    <xf numFmtId="4" fontId="38" fillId="0" borderId="9" xfId="11" applyNumberFormat="1" applyFont="1" applyBorder="1" applyAlignment="1" applyProtection="1">
      <alignment horizontal="right"/>
    </xf>
    <xf numFmtId="3" fontId="38" fillId="0" borderId="9" xfId="11" applyNumberFormat="1" applyFont="1" applyBorder="1" applyAlignment="1" applyProtection="1">
      <alignment horizontal="center"/>
    </xf>
    <xf numFmtId="3" fontId="38" fillId="0" borderId="43" xfId="11" applyNumberFormat="1" applyFont="1" applyBorder="1" applyAlignment="1" applyProtection="1">
      <alignment horizontal="center"/>
    </xf>
    <xf numFmtId="4" fontId="38" fillId="10" borderId="32" xfId="11" applyNumberFormat="1" applyFont="1" applyFill="1" applyBorder="1" applyAlignment="1" applyProtection="1">
      <alignment horizontal="right"/>
    </xf>
    <xf numFmtId="3" fontId="38" fillId="10" borderId="32" xfId="11" applyNumberFormat="1" applyFont="1" applyFill="1" applyBorder="1" applyAlignment="1" applyProtection="1">
      <alignment horizontal="center"/>
    </xf>
    <xf numFmtId="3" fontId="38" fillId="10" borderId="39" xfId="11" applyNumberFormat="1" applyFont="1" applyFill="1" applyBorder="1" applyAlignment="1" applyProtection="1">
      <alignment horizontal="center"/>
    </xf>
    <xf numFmtId="0" fontId="29" fillId="0" borderId="6" xfId="11" applyFont="1" applyBorder="1" applyAlignment="1" applyProtection="1">
      <alignment horizontal="left"/>
    </xf>
    <xf numFmtId="0" fontId="29" fillId="0" borderId="8" xfId="11" applyNumberFormat="1" applyFont="1" applyBorder="1" applyAlignment="1" applyProtection="1">
      <alignment horizontal="center"/>
    </xf>
    <xf numFmtId="4" fontId="29" fillId="0" borderId="8" xfId="11" applyNumberFormat="1" applyFont="1" applyBorder="1" applyAlignment="1" applyProtection="1">
      <alignment horizontal="right"/>
    </xf>
    <xf numFmtId="4" fontId="38" fillId="0" borderId="7" xfId="11" applyNumberFormat="1" applyFont="1" applyBorder="1" applyAlignment="1" applyProtection="1">
      <alignment horizontal="right"/>
    </xf>
    <xf numFmtId="3" fontId="38" fillId="0" borderId="7" xfId="11" applyNumberFormat="1" applyFont="1" applyBorder="1" applyAlignment="1" applyProtection="1">
      <alignment horizontal="center"/>
    </xf>
    <xf numFmtId="3" fontId="38" fillId="0" borderId="12" xfId="11" applyNumberFormat="1" applyFont="1" applyBorder="1" applyAlignment="1" applyProtection="1">
      <alignment horizontal="center"/>
    </xf>
    <xf numFmtId="0" fontId="37" fillId="0" borderId="44" xfId="11" applyFont="1" applyFill="1" applyBorder="1" applyAlignment="1" applyProtection="1">
      <alignment horizontal="left"/>
    </xf>
    <xf numFmtId="0" fontId="37" fillId="0" borderId="45" xfId="11" applyNumberFormat="1" applyFont="1" applyFill="1" applyBorder="1" applyAlignment="1" applyProtection="1">
      <alignment horizontal="center"/>
    </xf>
    <xf numFmtId="0" fontId="37" fillId="10" borderId="45" xfId="11" applyNumberFormat="1" applyFont="1" applyFill="1" applyBorder="1" applyAlignment="1" applyProtection="1">
      <alignment horizontal="center"/>
      <protection locked="0"/>
    </xf>
    <xf numFmtId="2" fontId="37" fillId="10" borderId="46" xfId="11" applyNumberFormat="1" applyFont="1" applyFill="1" applyBorder="1" applyAlignment="1" applyProtection="1">
      <alignment horizontal="center"/>
      <protection locked="0"/>
    </xf>
    <xf numFmtId="4" fontId="37" fillId="10" borderId="46" xfId="11" applyNumberFormat="1" applyFont="1" applyFill="1" applyBorder="1" applyAlignment="1" applyProtection="1">
      <alignment horizontal="right"/>
      <protection locked="0"/>
    </xf>
    <xf numFmtId="2" fontId="37" fillId="0" borderId="46" xfId="11" applyNumberFormat="1" applyFont="1" applyFill="1" applyBorder="1" applyAlignment="1" applyProtection="1">
      <alignment horizontal="center"/>
    </xf>
    <xf numFmtId="4" fontId="38" fillId="10" borderId="47" xfId="11" applyNumberFormat="1" applyFont="1" applyFill="1" applyBorder="1" applyAlignment="1" applyProtection="1">
      <alignment horizontal="right"/>
    </xf>
    <xf numFmtId="3" fontId="38" fillId="10" borderId="47" xfId="11" applyNumberFormat="1" applyFont="1" applyFill="1" applyBorder="1" applyAlignment="1" applyProtection="1">
      <alignment horizontal="center"/>
    </xf>
    <xf numFmtId="3" fontId="38" fillId="10" borderId="48" xfId="11" applyNumberFormat="1" applyFont="1" applyFill="1" applyBorder="1" applyAlignment="1" applyProtection="1">
      <alignment horizontal="center"/>
    </xf>
    <xf numFmtId="4" fontId="38" fillId="0" borderId="32" xfId="11" applyNumberFormat="1" applyFont="1" applyFill="1" applyBorder="1" applyAlignment="1" applyProtection="1">
      <alignment horizontal="right"/>
    </xf>
    <xf numFmtId="3" fontId="38" fillId="0" borderId="39" xfId="11" applyNumberFormat="1" applyFont="1" applyFill="1" applyBorder="1" applyAlignment="1" applyProtection="1">
      <alignment horizontal="center"/>
    </xf>
    <xf numFmtId="0" fontId="37" fillId="0" borderId="6" xfId="11" applyNumberFormat="1" applyFont="1" applyFill="1" applyBorder="1" applyAlignment="1" applyProtection="1">
      <alignment horizontal="center"/>
    </xf>
    <xf numFmtId="2" fontId="37" fillId="0" borderId="8" xfId="11" applyNumberFormat="1" applyFont="1" applyFill="1" applyBorder="1" applyAlignment="1" applyProtection="1">
      <alignment horizontal="center"/>
    </xf>
    <xf numFmtId="4" fontId="37" fillId="10" borderId="8" xfId="11" applyNumberFormat="1" applyFont="1" applyFill="1" applyBorder="1" applyAlignment="1" applyProtection="1">
      <alignment horizontal="right"/>
      <protection locked="0"/>
    </xf>
    <xf numFmtId="4" fontId="38" fillId="0" borderId="7" xfId="11" applyNumberFormat="1" applyFont="1" applyFill="1" applyBorder="1" applyAlignment="1" applyProtection="1">
      <alignment horizontal="right"/>
    </xf>
    <xf numFmtId="3" fontId="38" fillId="10" borderId="7" xfId="11" applyNumberFormat="1" applyFont="1" applyFill="1" applyBorder="1" applyAlignment="1" applyProtection="1">
      <alignment horizontal="center"/>
      <protection locked="0"/>
    </xf>
    <xf numFmtId="3" fontId="38" fillId="0" borderId="12" xfId="11" applyNumberFormat="1" applyFont="1" applyFill="1" applyBorder="1" applyAlignment="1" applyProtection="1">
      <alignment horizontal="center"/>
    </xf>
    <xf numFmtId="4" fontId="38" fillId="0" borderId="47" xfId="11" applyNumberFormat="1" applyFont="1" applyFill="1" applyBorder="1" applyAlignment="1" applyProtection="1">
      <alignment horizontal="right"/>
    </xf>
    <xf numFmtId="3" fontId="38" fillId="10" borderId="47" xfId="11" applyNumberFormat="1" applyFont="1" applyFill="1" applyBorder="1" applyAlignment="1" applyProtection="1">
      <alignment horizontal="center"/>
      <protection locked="0"/>
    </xf>
    <xf numFmtId="3" fontId="38" fillId="0" borderId="48" xfId="11" applyNumberFormat="1" applyFont="1" applyFill="1" applyBorder="1" applyAlignment="1" applyProtection="1">
      <alignment horizontal="center"/>
    </xf>
    <xf numFmtId="0" fontId="29" fillId="0" borderId="0" xfId="0" applyNumberFormat="1" applyFont="1" applyFill="1" applyBorder="1" applyAlignment="1" applyProtection="1">
      <alignment horizontal="left"/>
    </xf>
    <xf numFmtId="0" fontId="29" fillId="0" borderId="0" xfId="11" applyFont="1" applyBorder="1" applyAlignment="1" applyProtection="1">
      <alignment horizontal="left"/>
    </xf>
    <xf numFmtId="4" fontId="38" fillId="0" borderId="0" xfId="11" applyNumberFormat="1" applyFont="1" applyBorder="1" applyAlignment="1" applyProtection="1">
      <alignment horizontal="right"/>
    </xf>
    <xf numFmtId="3" fontId="38" fillId="0" borderId="0" xfId="11" applyNumberFormat="1" applyFont="1" applyBorder="1" applyAlignment="1" applyProtection="1">
      <alignment horizontal="center"/>
    </xf>
    <xf numFmtId="0" fontId="37" fillId="0" borderId="0" xfId="0" applyNumberFormat="1" applyFont="1" applyFill="1" applyBorder="1" applyAlignment="1" applyProtection="1">
      <alignment horizontal="left"/>
    </xf>
    <xf numFmtId="4" fontId="38" fillId="0" borderId="0" xfId="11" applyNumberFormat="1" applyFont="1" applyFill="1" applyAlignment="1" applyProtection="1">
      <alignment horizontal="left"/>
    </xf>
    <xf numFmtId="172" fontId="37" fillId="0" borderId="0" xfId="11" applyNumberFormat="1" applyFont="1" applyFill="1" applyAlignment="1" applyProtection="1">
      <alignment horizontal="center"/>
    </xf>
    <xf numFmtId="4" fontId="37" fillId="0" borderId="0" xfId="11" applyNumberFormat="1" applyFont="1" applyFill="1" applyAlignment="1" applyProtection="1">
      <alignment horizontal="center"/>
    </xf>
    <xf numFmtId="3" fontId="37" fillId="0" borderId="0" xfId="11" applyNumberFormat="1" applyFont="1" applyFill="1" applyAlignment="1" applyProtection="1">
      <alignment horizontal="center"/>
    </xf>
    <xf numFmtId="0" fontId="37" fillId="0" borderId="0" xfId="11" applyNumberFormat="1" applyFont="1" applyFill="1" applyBorder="1" applyAlignment="1" applyProtection="1">
      <alignment horizontal="left"/>
    </xf>
    <xf numFmtId="0" fontId="37" fillId="0" borderId="0" xfId="11" applyNumberFormat="1" applyFont="1" applyFill="1" applyBorder="1" applyAlignment="1" applyProtection="1">
      <alignment horizontal="center"/>
    </xf>
    <xf numFmtId="0" fontId="29" fillId="0" borderId="0" xfId="11" applyNumberFormat="1" applyFont="1" applyFill="1" applyBorder="1" applyAlignment="1" applyProtection="1">
      <alignment horizontal="center"/>
    </xf>
    <xf numFmtId="172" fontId="29" fillId="0" borderId="0" xfId="11" applyNumberFormat="1" applyFont="1" applyFill="1" applyAlignment="1" applyProtection="1">
      <alignment horizontal="center"/>
    </xf>
    <xf numFmtId="4" fontId="29" fillId="0" borderId="0" xfId="11" applyNumberFormat="1" applyFont="1" applyFill="1" applyAlignment="1" applyProtection="1">
      <alignment horizontal="center"/>
    </xf>
    <xf numFmtId="3" fontId="29" fillId="0" borderId="0" xfId="11" applyNumberFormat="1" applyFont="1" applyFill="1" applyAlignment="1" applyProtection="1">
      <alignment horizontal="center"/>
    </xf>
    <xf numFmtId="0" fontId="37" fillId="0" borderId="0" xfId="11" applyNumberFormat="1" applyFont="1" applyFill="1" applyAlignment="1" applyProtection="1">
      <alignment wrapText="1"/>
    </xf>
    <xf numFmtId="0" fontId="29" fillId="0" borderId="0" xfId="11" applyNumberFormat="1" applyFont="1" applyFill="1" applyBorder="1" applyAlignment="1" applyProtection="1">
      <alignment horizontal="left"/>
    </xf>
    <xf numFmtId="0" fontId="38" fillId="0" borderId="0" xfId="11" applyNumberFormat="1" applyFont="1" applyFill="1" applyBorder="1" applyAlignment="1" applyProtection="1">
      <alignment horizontal="center"/>
    </xf>
    <xf numFmtId="172" fontId="38" fillId="0" borderId="0" xfId="11" applyNumberFormat="1" applyFont="1" applyFill="1" applyAlignment="1" applyProtection="1">
      <alignment horizontal="center"/>
    </xf>
    <xf numFmtId="0" fontId="37" fillId="0" borderId="0" xfId="11" applyFont="1" applyProtection="1"/>
    <xf numFmtId="0" fontId="28" fillId="3" borderId="33" xfId="11" applyNumberFormat="1" applyFont="1" applyFill="1" applyBorder="1" applyAlignment="1" applyProtection="1">
      <alignment horizontal="left" vertical="center"/>
    </xf>
    <xf numFmtId="172" fontId="31" fillId="3" borderId="35" xfId="11" applyNumberFormat="1" applyFont="1" applyFill="1" applyBorder="1" applyAlignment="1" applyProtection="1">
      <alignment horizontal="center" vertical="center" wrapText="1"/>
    </xf>
    <xf numFmtId="4" fontId="31" fillId="3" borderId="35" xfId="11" applyNumberFormat="1" applyFont="1" applyFill="1" applyBorder="1" applyAlignment="1" applyProtection="1">
      <alignment horizontal="center" vertical="center" wrapText="1"/>
    </xf>
    <xf numFmtId="0" fontId="39" fillId="0" borderId="0" xfId="11" quotePrefix="1" applyNumberFormat="1" applyFont="1" applyFill="1" applyBorder="1" applyAlignment="1" applyProtection="1"/>
    <xf numFmtId="0" fontId="29" fillId="0" borderId="0" xfId="6" applyFont="1" applyFill="1" applyBorder="1" applyAlignment="1" applyProtection="1">
      <alignment horizontal="center" vertical="center"/>
    </xf>
    <xf numFmtId="3" fontId="29" fillId="0" borderId="0" xfId="6" applyNumberFormat="1" applyFont="1" applyFill="1" applyBorder="1" applyAlignment="1" applyProtection="1">
      <alignment horizontal="center" vertical="center"/>
    </xf>
    <xf numFmtId="0" fontId="29" fillId="6" borderId="0" xfId="6" applyFont="1" applyFill="1" applyBorder="1" applyAlignment="1" applyProtection="1">
      <alignment vertical="center"/>
    </xf>
    <xf numFmtId="0" fontId="29" fillId="12" borderId="0" xfId="6" applyFont="1" applyFill="1" applyBorder="1" applyAlignment="1" applyProtection="1">
      <alignment horizontal="right" vertical="center"/>
    </xf>
    <xf numFmtId="0" fontId="20" fillId="0" borderId="0" xfId="0" applyFont="1" applyBorder="1" applyProtection="1"/>
    <xf numFmtId="174" fontId="20" fillId="0" borderId="0" xfId="14" applyNumberFormat="1" applyFont="1" applyBorder="1" applyProtection="1"/>
    <xf numFmtId="0" fontId="20" fillId="0" borderId="0" xfId="0" applyFont="1" applyFill="1" applyBorder="1" applyProtection="1"/>
    <xf numFmtId="0" fontId="33" fillId="0" borderId="0" xfId="7" applyFont="1" applyBorder="1" applyAlignment="1" applyProtection="1">
      <alignment vertical="center"/>
    </xf>
    <xf numFmtId="0" fontId="33" fillId="0" borderId="0" xfId="7" applyFont="1" applyFill="1" applyBorder="1" applyAlignment="1" applyProtection="1">
      <alignment horizontal="center" vertical="center"/>
    </xf>
    <xf numFmtId="167" fontId="40" fillId="0" borderId="0" xfId="7" applyNumberFormat="1" applyFont="1" applyFill="1" applyBorder="1" applyAlignment="1" applyProtection="1">
      <alignment vertical="center"/>
    </xf>
    <xf numFmtId="0" fontId="40" fillId="0" borderId="0" xfId="7" applyFont="1" applyFill="1" applyBorder="1" applyAlignment="1" applyProtection="1">
      <alignment vertical="center"/>
    </xf>
    <xf numFmtId="0" fontId="40" fillId="0" borderId="0" xfId="7" applyFont="1" applyFill="1" applyBorder="1" applyAlignment="1" applyProtection="1">
      <alignment horizontal="center" vertical="center"/>
    </xf>
    <xf numFmtId="3" fontId="40" fillId="0" borderId="0" xfId="7" applyNumberFormat="1" applyFont="1" applyFill="1" applyBorder="1" applyAlignment="1" applyProtection="1">
      <alignment horizontal="center" vertical="center"/>
    </xf>
    <xf numFmtId="174" fontId="40" fillId="0" borderId="0" xfId="14" applyNumberFormat="1" applyFont="1" applyFill="1" applyBorder="1" applyAlignment="1" applyProtection="1">
      <alignment horizontal="center" vertical="center"/>
    </xf>
    <xf numFmtId="174" fontId="33" fillId="0" borderId="0" xfId="14" applyNumberFormat="1" applyFont="1" applyBorder="1" applyAlignment="1" applyProtection="1">
      <alignment horizontal="center" vertical="center"/>
    </xf>
    <xf numFmtId="167" fontId="29" fillId="7" borderId="0" xfId="7" applyNumberFormat="1" applyFont="1" applyFill="1" applyBorder="1" applyAlignment="1" applyProtection="1">
      <alignment vertical="center"/>
    </xf>
    <xf numFmtId="0" fontId="37" fillId="0" borderId="0" xfId="7" applyFont="1" applyBorder="1" applyAlignment="1" applyProtection="1">
      <alignment vertical="center"/>
    </xf>
    <xf numFmtId="0" fontId="37" fillId="0" borderId="0" xfId="7" applyFont="1" applyFill="1" applyBorder="1" applyAlignment="1" applyProtection="1">
      <alignment horizontal="center" vertical="center"/>
    </xf>
    <xf numFmtId="0" fontId="29" fillId="12" borderId="0" xfId="6" applyFont="1" applyFill="1" applyBorder="1" applyAlignment="1" applyProtection="1">
      <alignment vertical="center"/>
    </xf>
    <xf numFmtId="3" fontId="37" fillId="0" borderId="0" xfId="7" applyNumberFormat="1" applyFont="1" applyFill="1" applyBorder="1" applyAlignment="1" applyProtection="1">
      <alignment horizontal="center" vertical="center"/>
    </xf>
    <xf numFmtId="3" fontId="37" fillId="6" borderId="0" xfId="7" applyNumberFormat="1" applyFont="1" applyFill="1" applyBorder="1" applyAlignment="1" applyProtection="1">
      <alignment horizontal="center" vertical="center"/>
    </xf>
    <xf numFmtId="0" fontId="29" fillId="0" borderId="0" xfId="6" applyFont="1" applyFill="1" applyBorder="1" applyAlignment="1" applyProtection="1">
      <alignment vertical="center"/>
    </xf>
    <xf numFmtId="0" fontId="37" fillId="0" borderId="0" xfId="6" applyFont="1" applyFill="1" applyBorder="1" applyAlignment="1" applyProtection="1">
      <alignment horizontal="center" vertical="center"/>
    </xf>
    <xf numFmtId="170" fontId="37" fillId="10" borderId="3" xfId="6" applyNumberFormat="1" applyFont="1" applyFill="1" applyBorder="1" applyAlignment="1" applyProtection="1">
      <alignment horizontal="center" vertical="center"/>
      <protection locked="0"/>
    </xf>
    <xf numFmtId="0" fontId="37" fillId="11" borderId="3" xfId="6" applyFont="1" applyFill="1" applyBorder="1" applyAlignment="1" applyProtection="1">
      <alignment horizontal="center" vertical="center"/>
      <protection locked="0"/>
    </xf>
    <xf numFmtId="174" fontId="37" fillId="6" borderId="0" xfId="14" applyNumberFormat="1" applyFont="1" applyFill="1" applyBorder="1" applyAlignment="1" applyProtection="1">
      <alignment horizontal="center" vertical="center"/>
    </xf>
    <xf numFmtId="0" fontId="37" fillId="10" borderId="3" xfId="6" applyFont="1" applyFill="1" applyBorder="1" applyAlignment="1" applyProtection="1">
      <alignment horizontal="center" vertical="center"/>
      <protection locked="0"/>
    </xf>
    <xf numFmtId="170" fontId="37" fillId="10" borderId="2" xfId="6" applyNumberFormat="1" applyFont="1" applyFill="1" applyBorder="1" applyAlignment="1" applyProtection="1">
      <alignment horizontal="center" vertical="center"/>
      <protection locked="0"/>
    </xf>
    <xf numFmtId="0" fontId="37" fillId="10" borderId="2" xfId="6" applyFont="1" applyFill="1" applyBorder="1" applyAlignment="1" applyProtection="1">
      <alignment horizontal="center" vertical="center"/>
      <protection locked="0"/>
    </xf>
    <xf numFmtId="174" fontId="29" fillId="6" borderId="0" xfId="14" applyNumberFormat="1" applyFont="1" applyFill="1" applyBorder="1" applyAlignment="1" applyProtection="1">
      <alignment vertical="center"/>
    </xf>
    <xf numFmtId="172" fontId="37" fillId="0" borderId="0" xfId="7" applyNumberFormat="1" applyFont="1" applyFill="1" applyBorder="1" applyAlignment="1" applyProtection="1">
      <alignment horizontal="center" vertical="center"/>
    </xf>
    <xf numFmtId="167" fontId="29" fillId="0" borderId="0" xfId="7" applyNumberFormat="1" applyFont="1" applyBorder="1" applyAlignment="1" applyProtection="1">
      <alignment vertical="center"/>
    </xf>
    <xf numFmtId="170" fontId="29" fillId="0" borderId="0" xfId="6" applyNumberFormat="1" applyFont="1" applyFill="1" applyBorder="1" applyAlignment="1" applyProtection="1">
      <alignment horizontal="center" vertical="center"/>
    </xf>
    <xf numFmtId="174" fontId="29" fillId="6" borderId="0" xfId="14" applyNumberFormat="1" applyFont="1" applyFill="1" applyBorder="1" applyAlignment="1" applyProtection="1">
      <alignment horizontal="center" vertical="center"/>
    </xf>
    <xf numFmtId="3" fontId="29" fillId="0" borderId="0" xfId="7" applyNumberFormat="1" applyFont="1" applyFill="1" applyBorder="1" applyAlignment="1" applyProtection="1">
      <alignment horizontal="center" vertical="center"/>
    </xf>
    <xf numFmtId="167" fontId="29" fillId="6" borderId="2" xfId="7" applyNumberFormat="1" applyFont="1" applyFill="1" applyBorder="1" applyAlignment="1" applyProtection="1">
      <alignment vertical="center"/>
    </xf>
    <xf numFmtId="0" fontId="37" fillId="6" borderId="2" xfId="7" applyFont="1" applyFill="1" applyBorder="1" applyAlignment="1" applyProtection="1">
      <alignment vertical="center"/>
    </xf>
    <xf numFmtId="0" fontId="37" fillId="6" borderId="2" xfId="7" applyFont="1" applyFill="1" applyBorder="1" applyAlignment="1" applyProtection="1">
      <alignment horizontal="center" vertical="center"/>
    </xf>
    <xf numFmtId="1" fontId="37" fillId="6" borderId="2" xfId="7" applyNumberFormat="1" applyFont="1" applyFill="1" applyBorder="1" applyAlignment="1" applyProtection="1">
      <alignment horizontal="center" vertical="center"/>
    </xf>
    <xf numFmtId="174" fontId="29" fillId="6" borderId="2" xfId="14" applyNumberFormat="1" applyFont="1" applyFill="1" applyBorder="1" applyAlignment="1" applyProtection="1">
      <alignment horizontal="center" vertical="center"/>
    </xf>
    <xf numFmtId="1" fontId="29" fillId="0" borderId="2" xfId="7" applyNumberFormat="1" applyFont="1" applyFill="1" applyBorder="1" applyAlignment="1" applyProtection="1">
      <alignment horizontal="center" vertical="center"/>
    </xf>
    <xf numFmtId="0" fontId="37" fillId="10" borderId="0" xfId="6" applyFont="1" applyFill="1" applyBorder="1" applyAlignment="1" applyProtection="1">
      <alignment horizontal="left" vertical="center"/>
      <protection locked="0"/>
    </xf>
    <xf numFmtId="0" fontId="37" fillId="10" borderId="0" xfId="6" applyFont="1" applyFill="1" applyBorder="1" applyAlignment="1" applyProtection="1">
      <alignment horizontal="center" vertical="center"/>
      <protection locked="0"/>
    </xf>
    <xf numFmtId="173" fontId="37" fillId="10" borderId="3" xfId="6" applyNumberFormat="1" applyFont="1" applyFill="1" applyBorder="1" applyAlignment="1" applyProtection="1">
      <alignment horizontal="center" vertical="center"/>
      <protection locked="0"/>
    </xf>
    <xf numFmtId="167" fontId="28" fillId="7" borderId="0" xfId="7" applyNumberFormat="1" applyFont="1" applyFill="1" applyBorder="1" applyAlignment="1" applyProtection="1">
      <alignment vertical="center"/>
    </xf>
    <xf numFmtId="0" fontId="41" fillId="7" borderId="0" xfId="7" applyFont="1" applyFill="1" applyBorder="1" applyAlignment="1" applyProtection="1">
      <alignment vertical="center"/>
    </xf>
    <xf numFmtId="0" fontId="41" fillId="7" borderId="0" xfId="7" applyFont="1" applyFill="1" applyBorder="1" applyAlignment="1" applyProtection="1">
      <alignment horizontal="center" vertical="center"/>
    </xf>
    <xf numFmtId="1" fontId="41" fillId="7" borderId="0" xfId="7" applyNumberFormat="1" applyFont="1" applyFill="1" applyBorder="1" applyAlignment="1" applyProtection="1">
      <alignment horizontal="center" vertical="center"/>
    </xf>
    <xf numFmtId="174" fontId="28" fillId="7" borderId="0" xfId="14" applyNumberFormat="1" applyFont="1" applyFill="1" applyBorder="1" applyAlignment="1" applyProtection="1">
      <alignment horizontal="center" vertical="center"/>
    </xf>
    <xf numFmtId="1" fontId="28" fillId="0" borderId="0" xfId="7" applyNumberFormat="1" applyFont="1" applyFill="1" applyBorder="1" applyAlignment="1" applyProtection="1">
      <alignment horizontal="center" vertical="center"/>
    </xf>
    <xf numFmtId="175" fontId="37" fillId="10" borderId="3" xfId="6" applyNumberFormat="1" applyFont="1" applyFill="1" applyBorder="1" applyAlignment="1" applyProtection="1">
      <alignment horizontal="center" vertical="center"/>
      <protection locked="0"/>
    </xf>
    <xf numFmtId="0" fontId="29" fillId="0" borderId="0" xfId="7" applyFont="1" applyFill="1" applyBorder="1" applyAlignment="1" applyProtection="1">
      <alignment horizontal="centerContinuous" vertical="center" wrapText="1"/>
    </xf>
    <xf numFmtId="0" fontId="39" fillId="0" borderId="0" xfId="11" applyNumberFormat="1" applyFont="1" applyFill="1" applyBorder="1" applyAlignment="1" applyProtection="1">
      <alignment vertical="center"/>
    </xf>
    <xf numFmtId="0" fontId="37" fillId="0" borderId="0" xfId="7" applyFont="1" applyBorder="1" applyAlignment="1" applyProtection="1">
      <alignment horizontal="center" vertical="center"/>
    </xf>
    <xf numFmtId="0" fontId="37" fillId="6" borderId="49" xfId="7" applyFont="1" applyFill="1" applyBorder="1" applyAlignment="1" applyProtection="1">
      <alignment horizontal="center" vertical="center"/>
    </xf>
    <xf numFmtId="0" fontId="37" fillId="0" borderId="53" xfId="7" applyFont="1" applyFill="1" applyBorder="1" applyAlignment="1" applyProtection="1">
      <alignment horizontal="center" vertical="center"/>
    </xf>
    <xf numFmtId="0" fontId="37" fillId="6" borderId="0" xfId="7" applyFont="1" applyFill="1" applyBorder="1" applyAlignment="1" applyProtection="1">
      <alignment horizontal="center" vertical="center"/>
    </xf>
    <xf numFmtId="0" fontId="37" fillId="6" borderId="50" xfId="7" applyFont="1" applyFill="1" applyBorder="1" applyAlignment="1" applyProtection="1">
      <alignment horizontal="center" vertical="center"/>
    </xf>
    <xf numFmtId="0" fontId="37" fillId="6" borderId="1" xfId="7" applyFont="1" applyFill="1" applyBorder="1" applyAlignment="1" applyProtection="1">
      <alignment horizontal="center" vertical="center"/>
    </xf>
    <xf numFmtId="167" fontId="37" fillId="6" borderId="0" xfId="7" applyNumberFormat="1" applyFont="1" applyFill="1" applyBorder="1" applyAlignment="1" applyProtection="1">
      <alignment vertical="center"/>
    </xf>
    <xf numFmtId="170" fontId="37" fillId="10" borderId="26" xfId="7" applyNumberFormat="1" applyFont="1" applyFill="1" applyBorder="1" applyAlignment="1" applyProtection="1">
      <alignment horizontal="center" vertical="center"/>
      <protection locked="0"/>
    </xf>
    <xf numFmtId="167" fontId="37" fillId="6" borderId="0" xfId="7" applyNumberFormat="1" applyFont="1" applyFill="1" applyBorder="1" applyAlignment="1" applyProtection="1">
      <alignment horizontal="center" vertical="center"/>
    </xf>
    <xf numFmtId="2" fontId="37" fillId="10" borderId="26" xfId="7" applyNumberFormat="1" applyFont="1" applyFill="1" applyBorder="1" applyAlignment="1" applyProtection="1">
      <alignment horizontal="center" vertical="center"/>
      <protection locked="0"/>
    </xf>
    <xf numFmtId="174" fontId="37" fillId="6" borderId="49" xfId="14" applyNumberFormat="1" applyFont="1" applyFill="1" applyBorder="1" applyAlignment="1" applyProtection="1">
      <alignment horizontal="center" vertical="center"/>
    </xf>
    <xf numFmtId="170" fontId="37" fillId="10" borderId="54" xfId="7" applyNumberFormat="1" applyFont="1" applyFill="1" applyBorder="1" applyAlignment="1" applyProtection="1">
      <alignment horizontal="center" vertical="center"/>
      <protection locked="0"/>
    </xf>
    <xf numFmtId="1" fontId="37" fillId="6" borderId="49" xfId="7" applyNumberFormat="1" applyFont="1" applyFill="1" applyBorder="1" applyAlignment="1" applyProtection="1">
      <alignment horizontal="center" vertical="center"/>
    </xf>
    <xf numFmtId="1" fontId="37" fillId="6" borderId="0" xfId="7" applyNumberFormat="1" applyFont="1" applyFill="1" applyBorder="1" applyAlignment="1" applyProtection="1">
      <alignment horizontal="center" vertical="center"/>
    </xf>
    <xf numFmtId="170" fontId="29" fillId="10" borderId="29" xfId="7" applyNumberFormat="1" applyFont="1" applyFill="1" applyBorder="1" applyAlignment="1" applyProtection="1">
      <alignment horizontal="center" vertical="center"/>
      <protection locked="0"/>
    </xf>
    <xf numFmtId="2" fontId="37" fillId="10" borderId="29" xfId="7" applyNumberFormat="1" applyFont="1" applyFill="1" applyBorder="1" applyAlignment="1" applyProtection="1">
      <alignment horizontal="center" vertical="center"/>
      <protection locked="0"/>
    </xf>
    <xf numFmtId="170" fontId="37" fillId="10" borderId="55" xfId="7" applyNumberFormat="1" applyFont="1" applyFill="1" applyBorder="1" applyAlignment="1" applyProtection="1">
      <alignment horizontal="center" vertical="center"/>
      <protection locked="0"/>
    </xf>
    <xf numFmtId="170" fontId="37" fillId="10" borderId="29" xfId="7" applyNumberFormat="1" applyFont="1" applyFill="1" applyBorder="1" applyAlignment="1" applyProtection="1">
      <alignment horizontal="center" vertical="center"/>
      <protection locked="0"/>
    </xf>
    <xf numFmtId="167" fontId="37" fillId="6" borderId="0" xfId="7" quotePrefix="1" applyNumberFormat="1" applyFont="1" applyFill="1" applyBorder="1" applyAlignment="1" applyProtection="1">
      <alignment horizontal="center" vertical="center"/>
    </xf>
    <xf numFmtId="1" fontId="37" fillId="10" borderId="29" xfId="7" applyNumberFormat="1" applyFont="1" applyFill="1" applyBorder="1" applyAlignment="1" applyProtection="1">
      <alignment horizontal="center" vertical="center"/>
      <protection locked="0"/>
    </xf>
    <xf numFmtId="0" fontId="37" fillId="10" borderId="3" xfId="7" applyFont="1" applyFill="1" applyBorder="1" applyAlignment="1" applyProtection="1">
      <alignment horizontal="center" vertical="center"/>
      <protection locked="0"/>
    </xf>
    <xf numFmtId="167" fontId="37" fillId="0" borderId="0" xfId="7" quotePrefix="1" applyNumberFormat="1" applyFont="1" applyBorder="1" applyAlignment="1" applyProtection="1">
      <alignment horizontal="left" vertical="center"/>
    </xf>
    <xf numFmtId="0" fontId="37" fillId="10" borderId="1" xfId="7" applyFont="1" applyFill="1" applyBorder="1" applyAlignment="1" applyProtection="1">
      <alignment horizontal="center" vertical="center"/>
      <protection locked="0"/>
    </xf>
    <xf numFmtId="0" fontId="29" fillId="6" borderId="1" xfId="1" applyNumberFormat="1" applyFont="1" applyFill="1" applyBorder="1" applyAlignment="1" applyProtection="1">
      <alignment vertical="center"/>
    </xf>
    <xf numFmtId="1" fontId="37" fillId="6" borderId="1" xfId="1" applyNumberFormat="1" applyFont="1" applyFill="1" applyBorder="1" applyAlignment="1" applyProtection="1">
      <alignment horizontal="center" vertical="center"/>
    </xf>
    <xf numFmtId="0" fontId="37" fillId="6" borderId="1" xfId="1" applyFont="1" applyFill="1" applyBorder="1" applyAlignment="1" applyProtection="1">
      <alignment horizontal="left" vertical="center"/>
    </xf>
    <xf numFmtId="2" fontId="37" fillId="6" borderId="1" xfId="1" applyNumberFormat="1" applyFont="1" applyFill="1" applyBorder="1" applyAlignment="1" applyProtection="1">
      <alignment horizontal="center" vertical="center"/>
    </xf>
    <xf numFmtId="174" fontId="29" fillId="6" borderId="51" xfId="14" applyNumberFormat="1" applyFont="1" applyFill="1" applyBorder="1" applyAlignment="1" applyProtection="1">
      <alignment horizontal="center" vertical="center"/>
    </xf>
    <xf numFmtId="1" fontId="37" fillId="6" borderId="56" xfId="1" applyNumberFormat="1" applyFont="1" applyFill="1" applyBorder="1" applyAlignment="1" applyProtection="1">
      <alignment horizontal="center" vertical="center"/>
    </xf>
    <xf numFmtId="1" fontId="29" fillId="6" borderId="51" xfId="7" applyNumberFormat="1" applyFont="1" applyFill="1" applyBorder="1" applyAlignment="1" applyProtection="1">
      <alignment horizontal="center" vertical="center"/>
    </xf>
    <xf numFmtId="1" fontId="29" fillId="6" borderId="3" xfId="7" applyNumberFormat="1" applyFont="1" applyFill="1" applyBorder="1" applyAlignment="1" applyProtection="1">
      <alignment horizontal="center" vertical="center"/>
    </xf>
    <xf numFmtId="167" fontId="42" fillId="0" borderId="0" xfId="7" quotePrefix="1" applyNumberFormat="1" applyFont="1" applyBorder="1" applyAlignment="1" applyProtection="1">
      <alignment horizontal="left" vertical="center"/>
    </xf>
    <xf numFmtId="167" fontId="37" fillId="0" borderId="0" xfId="7" applyNumberFormat="1" applyFont="1" applyBorder="1" applyAlignment="1" applyProtection="1">
      <alignment vertical="center"/>
    </xf>
    <xf numFmtId="167" fontId="37" fillId="10" borderId="0" xfId="7" applyNumberFormat="1" applyFont="1" applyFill="1" applyBorder="1" applyAlignment="1" applyProtection="1">
      <alignment vertical="center"/>
      <protection locked="0"/>
    </xf>
    <xf numFmtId="167" fontId="29" fillId="6" borderId="3" xfId="7" applyNumberFormat="1" applyFont="1" applyFill="1" applyBorder="1" applyAlignment="1" applyProtection="1">
      <alignment vertical="center"/>
    </xf>
    <xf numFmtId="1" fontId="37" fillId="6" borderId="3" xfId="7" applyNumberFormat="1" applyFont="1" applyFill="1" applyBorder="1" applyAlignment="1" applyProtection="1">
      <alignment horizontal="center" vertical="center"/>
    </xf>
    <xf numFmtId="0" fontId="37" fillId="6" borderId="3" xfId="7" applyFont="1" applyFill="1" applyBorder="1" applyAlignment="1" applyProtection="1">
      <alignment horizontal="center" vertical="center"/>
    </xf>
    <xf numFmtId="2" fontId="37" fillId="6" borderId="3" xfId="7" applyNumberFormat="1" applyFont="1" applyFill="1" applyBorder="1" applyAlignment="1" applyProtection="1">
      <alignment horizontal="center" vertical="center"/>
    </xf>
    <xf numFmtId="1" fontId="37" fillId="6" borderId="57" xfId="7" applyNumberFormat="1" applyFont="1" applyFill="1" applyBorder="1" applyAlignment="1" applyProtection="1">
      <alignment horizontal="center" vertical="center"/>
    </xf>
    <xf numFmtId="10" fontId="37" fillId="10" borderId="26" xfId="12" applyNumberFormat="1" applyFont="1" applyFill="1" applyBorder="1" applyAlignment="1" applyProtection="1">
      <alignment horizontal="center" vertical="center"/>
      <protection locked="0"/>
    </xf>
    <xf numFmtId="1" fontId="37" fillId="10" borderId="0" xfId="7" applyNumberFormat="1" applyFont="1" applyFill="1" applyBorder="1" applyAlignment="1" applyProtection="1">
      <alignment horizontal="center" vertical="center"/>
      <protection locked="0"/>
    </xf>
    <xf numFmtId="170" fontId="37" fillId="0" borderId="0" xfId="7" applyNumberFormat="1" applyFont="1" applyFill="1" applyBorder="1" applyAlignment="1" applyProtection="1">
      <alignment horizontal="center" vertical="center"/>
    </xf>
    <xf numFmtId="2" fontId="37" fillId="10" borderId="0" xfId="7" applyNumberFormat="1" applyFont="1" applyFill="1" applyBorder="1" applyAlignment="1" applyProtection="1">
      <alignment horizontal="center" vertical="center"/>
      <protection locked="0"/>
    </xf>
    <xf numFmtId="170" fontId="37" fillId="0" borderId="53" xfId="7" applyNumberFormat="1" applyFont="1" applyFill="1" applyBorder="1" applyAlignment="1" applyProtection="1">
      <alignment horizontal="center" vertical="center"/>
    </xf>
    <xf numFmtId="168" fontId="37" fillId="0" borderId="0" xfId="7" applyNumberFormat="1" applyFont="1" applyBorder="1" applyAlignment="1" applyProtection="1">
      <alignment horizontal="center" vertical="center"/>
    </xf>
    <xf numFmtId="1" fontId="37" fillId="0" borderId="0" xfId="7" applyNumberFormat="1" applyFont="1" applyFill="1" applyBorder="1" applyAlignment="1" applyProtection="1">
      <alignment horizontal="center" vertical="center"/>
    </xf>
    <xf numFmtId="1" fontId="37" fillId="0" borderId="53" xfId="7" applyNumberFormat="1" applyFont="1" applyFill="1" applyBorder="1" applyAlignment="1" applyProtection="1">
      <alignment horizontal="center" vertical="center"/>
    </xf>
    <xf numFmtId="2" fontId="37" fillId="0" borderId="0" xfId="7" applyNumberFormat="1" applyFont="1" applyBorder="1" applyAlignment="1" applyProtection="1">
      <alignment horizontal="center" vertical="center"/>
    </xf>
    <xf numFmtId="0" fontId="29" fillId="6" borderId="3" xfId="1" applyNumberFormat="1" applyFont="1" applyFill="1" applyBorder="1" applyAlignment="1" applyProtection="1">
      <alignment vertical="center"/>
    </xf>
    <xf numFmtId="165" fontId="37" fillId="6" borderId="49" xfId="7" applyNumberFormat="1" applyFont="1" applyFill="1" applyBorder="1" applyAlignment="1" applyProtection="1">
      <alignment horizontal="center" vertical="center"/>
    </xf>
    <xf numFmtId="165" fontId="37" fillId="6" borderId="0" xfId="7" applyNumberFormat="1" applyFont="1" applyFill="1" applyBorder="1" applyAlignment="1" applyProtection="1">
      <alignment horizontal="center" vertical="center"/>
    </xf>
    <xf numFmtId="174" fontId="37" fillId="6" borderId="51" xfId="14" applyNumberFormat="1" applyFont="1" applyFill="1" applyBorder="1" applyAlignment="1" applyProtection="1">
      <alignment horizontal="center" vertical="center"/>
    </xf>
    <xf numFmtId="165" fontId="37" fillId="6" borderId="51" xfId="7" applyNumberFormat="1" applyFont="1" applyFill="1" applyBorder="1" applyAlignment="1" applyProtection="1">
      <alignment horizontal="center" vertical="center"/>
    </xf>
    <xf numFmtId="165" fontId="37" fillId="6" borderId="3" xfId="7" applyNumberFormat="1" applyFont="1" applyFill="1" applyBorder="1" applyAlignment="1" applyProtection="1">
      <alignment horizontal="center" vertical="center"/>
    </xf>
    <xf numFmtId="167" fontId="40" fillId="0" borderId="0" xfId="7" applyNumberFormat="1" applyFont="1" applyBorder="1" applyAlignment="1" applyProtection="1">
      <alignment vertical="center"/>
    </xf>
    <xf numFmtId="0" fontId="40" fillId="0" borderId="0" xfId="7" applyFont="1" applyBorder="1" applyAlignment="1" applyProtection="1">
      <alignment horizontal="center" vertical="center"/>
    </xf>
    <xf numFmtId="0" fontId="40" fillId="0" borderId="53" xfId="7" applyFont="1" applyFill="1" applyBorder="1" applyAlignment="1" applyProtection="1">
      <alignment horizontal="center" vertical="center"/>
    </xf>
    <xf numFmtId="3" fontId="37" fillId="0" borderId="0" xfId="6" applyNumberFormat="1" applyFont="1" applyFill="1" applyBorder="1" applyAlignment="1" applyProtection="1">
      <alignment horizontal="center" vertical="center"/>
    </xf>
    <xf numFmtId="0" fontId="37" fillId="0" borderId="53" xfId="6" applyFont="1" applyFill="1" applyBorder="1" applyAlignment="1" applyProtection="1">
      <alignment horizontal="center" vertical="center"/>
    </xf>
    <xf numFmtId="3" fontId="37" fillId="6" borderId="49" xfId="7" applyNumberFormat="1" applyFont="1" applyFill="1" applyBorder="1" applyAlignment="1" applyProtection="1">
      <alignment horizontal="center" vertical="center"/>
    </xf>
    <xf numFmtId="2" fontId="37" fillId="6" borderId="2" xfId="7" applyNumberFormat="1" applyFont="1" applyFill="1" applyBorder="1" applyAlignment="1" applyProtection="1">
      <alignment horizontal="center" vertical="center"/>
    </xf>
    <xf numFmtId="174" fontId="29" fillId="6" borderId="52" xfId="14" applyNumberFormat="1" applyFont="1" applyFill="1" applyBorder="1" applyAlignment="1" applyProtection="1">
      <alignment horizontal="center" vertical="center"/>
    </xf>
    <xf numFmtId="1" fontId="37" fillId="6" borderId="58" xfId="7" applyNumberFormat="1" applyFont="1" applyFill="1" applyBorder="1" applyAlignment="1" applyProtection="1">
      <alignment horizontal="center" vertical="center"/>
    </xf>
    <xf numFmtId="1" fontId="29" fillId="6" borderId="52" xfId="7" applyNumberFormat="1" applyFont="1" applyFill="1" applyBorder="1" applyAlignment="1" applyProtection="1">
      <alignment horizontal="center" vertical="center"/>
    </xf>
    <xf numFmtId="1" fontId="29" fillId="6" borderId="2" xfId="7" applyNumberFormat="1" applyFont="1" applyFill="1" applyBorder="1" applyAlignment="1" applyProtection="1">
      <alignment horizontal="center" vertical="center"/>
    </xf>
    <xf numFmtId="1" fontId="37" fillId="6" borderId="1" xfId="7" applyNumberFormat="1" applyFont="1" applyFill="1" applyBorder="1" applyAlignment="1" applyProtection="1">
      <alignment horizontal="center" vertical="center"/>
    </xf>
    <xf numFmtId="2" fontId="37" fillId="6" borderId="1" xfId="7" applyNumberFormat="1" applyFont="1" applyFill="1" applyBorder="1" applyAlignment="1" applyProtection="1">
      <alignment horizontal="center" vertical="center"/>
    </xf>
    <xf numFmtId="174" fontId="29" fillId="6" borderId="50" xfId="14" applyNumberFormat="1" applyFont="1" applyFill="1" applyBorder="1" applyAlignment="1" applyProtection="1">
      <alignment horizontal="center" vertical="center"/>
    </xf>
    <xf numFmtId="1" fontId="37" fillId="6" borderId="56" xfId="7" applyNumberFormat="1" applyFont="1" applyFill="1" applyBorder="1" applyAlignment="1" applyProtection="1">
      <alignment horizontal="center" vertical="center"/>
    </xf>
    <xf numFmtId="1" fontId="29" fillId="6" borderId="50" xfId="7" applyNumberFormat="1" applyFont="1" applyFill="1" applyBorder="1" applyAlignment="1" applyProtection="1">
      <alignment horizontal="center" vertical="center"/>
    </xf>
    <xf numFmtId="1" fontId="29" fillId="6" borderId="1" xfId="7" applyNumberFormat="1" applyFont="1" applyFill="1" applyBorder="1" applyAlignment="1" applyProtection="1">
      <alignment horizontal="center" vertical="center"/>
    </xf>
    <xf numFmtId="169" fontId="37" fillId="10" borderId="29" xfId="12" applyNumberFormat="1" applyFont="1" applyFill="1" applyBorder="1" applyAlignment="1" applyProtection="1">
      <alignment horizontal="center" vertical="center"/>
      <protection locked="0"/>
    </xf>
    <xf numFmtId="171" fontId="37" fillId="0" borderId="0" xfId="7" quotePrefix="1" applyNumberFormat="1" applyFont="1" applyBorder="1" applyAlignment="1" applyProtection="1">
      <alignment horizontal="center" vertical="center"/>
    </xf>
    <xf numFmtId="1" fontId="37" fillId="0" borderId="0" xfId="7" applyNumberFormat="1" applyFont="1" applyBorder="1" applyAlignment="1" applyProtection="1">
      <alignment horizontal="center" vertical="center"/>
    </xf>
    <xf numFmtId="169" fontId="37" fillId="10" borderId="55" xfId="12" applyNumberFormat="1" applyFont="1" applyFill="1" applyBorder="1" applyAlignment="1" applyProtection="1">
      <alignment horizontal="center" vertical="center"/>
      <protection locked="0"/>
    </xf>
    <xf numFmtId="171" fontId="37" fillId="0" borderId="0" xfId="7" applyNumberFormat="1" applyFont="1" applyBorder="1" applyAlignment="1" applyProtection="1">
      <alignment horizontal="center" vertical="center"/>
    </xf>
    <xf numFmtId="10" fontId="37" fillId="0" borderId="0" xfId="7" applyNumberFormat="1" applyFont="1" applyFill="1" applyBorder="1" applyAlignment="1" applyProtection="1">
      <alignment horizontal="center" vertical="center"/>
    </xf>
    <xf numFmtId="174" fontId="37" fillId="10" borderId="49" xfId="14" applyNumberFormat="1" applyFont="1" applyFill="1" applyBorder="1" applyAlignment="1" applyProtection="1">
      <alignment horizontal="center" vertical="center"/>
      <protection locked="0"/>
    </xf>
    <xf numFmtId="10" fontId="37" fillId="0" borderId="53" xfId="7" applyNumberFormat="1" applyFont="1" applyFill="1" applyBorder="1" applyAlignment="1" applyProtection="1">
      <alignment horizontal="center" vertical="center"/>
    </xf>
    <xf numFmtId="38" fontId="37" fillId="0" borderId="0" xfId="7" applyNumberFormat="1" applyFont="1" applyBorder="1" applyAlignment="1" applyProtection="1">
      <alignment horizontal="center" vertical="center"/>
    </xf>
    <xf numFmtId="3" fontId="37" fillId="10" borderId="49" xfId="7" applyNumberFormat="1" applyFont="1" applyFill="1" applyBorder="1" applyAlignment="1" applyProtection="1">
      <alignment horizontal="center" vertical="center"/>
      <protection locked="0"/>
    </xf>
    <xf numFmtId="3" fontId="37" fillId="10" borderId="0" xfId="7" applyNumberFormat="1" applyFont="1" applyFill="1" applyBorder="1" applyAlignment="1" applyProtection="1">
      <alignment horizontal="center" vertical="center"/>
      <protection locked="0"/>
    </xf>
    <xf numFmtId="1" fontId="43" fillId="6" borderId="49" xfId="7" applyNumberFormat="1" applyFont="1" applyFill="1" applyBorder="1" applyAlignment="1" applyProtection="1">
      <alignment horizontal="center" vertical="center"/>
    </xf>
    <xf numFmtId="1" fontId="43" fillId="6" borderId="0" xfId="7" applyNumberFormat="1" applyFont="1" applyFill="1" applyBorder="1" applyAlignment="1" applyProtection="1">
      <alignment horizontal="center" vertical="center"/>
    </xf>
    <xf numFmtId="167" fontId="29" fillId="4" borderId="0" xfId="7" applyNumberFormat="1" applyFont="1" applyFill="1" applyBorder="1" applyAlignment="1" applyProtection="1">
      <alignment vertical="center"/>
    </xf>
    <xf numFmtId="0" fontId="37" fillId="4" borderId="0" xfId="7" applyFont="1" applyFill="1" applyBorder="1" applyAlignment="1" applyProtection="1">
      <alignment horizontal="center" vertical="center"/>
    </xf>
    <xf numFmtId="0" fontId="37" fillId="4" borderId="53" xfId="7" applyFont="1" applyFill="1" applyBorder="1" applyAlignment="1" applyProtection="1">
      <alignment horizontal="center" vertical="center"/>
    </xf>
    <xf numFmtId="1" fontId="37" fillId="10" borderId="49" xfId="7" applyNumberFormat="1" applyFont="1" applyFill="1" applyBorder="1" applyAlignment="1" applyProtection="1">
      <alignment horizontal="center" vertical="center"/>
      <protection locked="0"/>
    </xf>
    <xf numFmtId="167" fontId="37" fillId="0" borderId="0" xfId="7" applyNumberFormat="1" applyFont="1" applyBorder="1" applyAlignment="1" applyProtection="1">
      <alignment horizontal="left" vertical="center"/>
    </xf>
    <xf numFmtId="1" fontId="38" fillId="0" borderId="0" xfId="7" applyNumberFormat="1" applyFont="1" applyFill="1" applyBorder="1" applyAlignment="1" applyProtection="1">
      <alignment horizontal="center" vertical="center"/>
    </xf>
    <xf numFmtId="166" fontId="38" fillId="0" borderId="0" xfId="7" applyNumberFormat="1" applyFont="1" applyFill="1" applyBorder="1" applyAlignment="1" applyProtection="1">
      <alignment horizontal="center" vertical="center"/>
    </xf>
    <xf numFmtId="9" fontId="38" fillId="0" borderId="0" xfId="7" applyNumberFormat="1" applyFont="1" applyFill="1" applyBorder="1" applyAlignment="1" applyProtection="1">
      <alignment horizontal="center" vertical="center"/>
    </xf>
    <xf numFmtId="38" fontId="40" fillId="0" borderId="49" xfId="7" applyNumberFormat="1" applyFont="1" applyFill="1" applyBorder="1" applyAlignment="1" applyProtection="1">
      <alignment horizontal="center" vertical="center"/>
    </xf>
    <xf numFmtId="1" fontId="38" fillId="0" borderId="53" xfId="7" applyNumberFormat="1" applyFont="1" applyFill="1" applyBorder="1" applyAlignment="1" applyProtection="1">
      <alignment horizontal="center" vertical="center"/>
    </xf>
    <xf numFmtId="38" fontId="40" fillId="0" borderId="0" xfId="7" applyNumberFormat="1" applyFont="1" applyFill="1" applyBorder="1" applyAlignment="1" applyProtection="1">
      <alignment horizontal="center" vertical="center"/>
    </xf>
    <xf numFmtId="167" fontId="37" fillId="7" borderId="0" xfId="7" applyNumberFormat="1" applyFont="1" applyFill="1" applyBorder="1" applyAlignment="1" applyProtection="1">
      <alignment vertical="center"/>
    </xf>
    <xf numFmtId="167" fontId="37" fillId="6" borderId="1" xfId="7" applyNumberFormat="1" applyFont="1" applyFill="1" applyBorder="1" applyAlignment="1" applyProtection="1">
      <alignment horizontal="left" vertical="top" wrapText="1" indent="2"/>
    </xf>
    <xf numFmtId="167" fontId="44" fillId="7" borderId="27" xfId="7" applyNumberFormat="1" applyFont="1" applyFill="1" applyBorder="1" applyAlignment="1" applyProtection="1">
      <alignment vertical="center"/>
    </xf>
    <xf numFmtId="174" fontId="44" fillId="7" borderId="25" xfId="14" applyNumberFormat="1" applyFont="1" applyFill="1" applyBorder="1" applyAlignment="1" applyProtection="1">
      <alignment horizontal="center" vertical="center"/>
    </xf>
    <xf numFmtId="3" fontId="44" fillId="7" borderId="25" xfId="7" applyNumberFormat="1" applyFont="1" applyFill="1" applyBorder="1" applyAlignment="1" applyProtection="1">
      <alignment horizontal="center" vertical="center"/>
    </xf>
    <xf numFmtId="3" fontId="44" fillId="7" borderId="29" xfId="7" applyNumberFormat="1" applyFont="1" applyFill="1" applyBorder="1" applyAlignment="1" applyProtection="1">
      <alignment horizontal="center" vertical="center"/>
    </xf>
    <xf numFmtId="0" fontId="45" fillId="0" borderId="0" xfId="0" applyFont="1" applyProtection="1"/>
    <xf numFmtId="167" fontId="44" fillId="7" borderId="3" xfId="7" applyNumberFormat="1" applyFont="1" applyFill="1" applyBorder="1" applyAlignment="1" applyProtection="1">
      <alignment vertical="center"/>
    </xf>
    <xf numFmtId="1" fontId="44" fillId="7" borderId="3" xfId="7" applyNumberFormat="1" applyFont="1" applyFill="1" applyBorder="1" applyAlignment="1" applyProtection="1">
      <alignment horizontal="center" vertical="center"/>
    </xf>
    <xf numFmtId="0" fontId="44" fillId="7" borderId="3" xfId="7" applyFont="1" applyFill="1" applyBorder="1" applyAlignment="1" applyProtection="1">
      <alignment horizontal="center" vertical="center"/>
    </xf>
    <xf numFmtId="2" fontId="44" fillId="7" borderId="3" xfId="7" applyNumberFormat="1" applyFont="1" applyFill="1" applyBorder="1" applyAlignment="1" applyProtection="1">
      <alignment horizontal="center" vertical="center"/>
    </xf>
    <xf numFmtId="1" fontId="44" fillId="7" borderId="57" xfId="7" applyNumberFormat="1" applyFont="1" applyFill="1" applyBorder="1" applyAlignment="1" applyProtection="1">
      <alignment horizontal="center" vertical="center"/>
    </xf>
    <xf numFmtId="1" fontId="44" fillId="7" borderId="25" xfId="7" applyNumberFormat="1" applyFont="1" applyFill="1" applyBorder="1" applyAlignment="1" applyProtection="1">
      <alignment horizontal="center" vertical="center"/>
    </xf>
    <xf numFmtId="0" fontId="11" fillId="10" borderId="6" xfId="11" applyNumberFormat="1" applyFont="1" applyFill="1" applyBorder="1" applyAlignment="1" applyProtection="1">
      <alignment horizontal="center"/>
    </xf>
    <xf numFmtId="0" fontId="37" fillId="10" borderId="6" xfId="11" applyNumberFormat="1" applyFont="1" applyFill="1" applyBorder="1" applyAlignment="1" applyProtection="1">
      <alignment horizontal="center"/>
      <protection locked="0"/>
    </xf>
    <xf numFmtId="2" fontId="37" fillId="10" borderId="8" xfId="11" applyNumberFormat="1" applyFont="1" applyFill="1" applyBorder="1" applyAlignment="1" applyProtection="1">
      <alignment horizontal="center"/>
      <protection locked="0"/>
    </xf>
    <xf numFmtId="4" fontId="38" fillId="10" borderId="7" xfId="11" applyNumberFormat="1" applyFont="1" applyFill="1" applyBorder="1" applyAlignment="1" applyProtection="1">
      <alignment horizontal="right"/>
    </xf>
    <xf numFmtId="3" fontId="38" fillId="10" borderId="7" xfId="11" applyNumberFormat="1" applyFont="1" applyFill="1" applyBorder="1" applyAlignment="1" applyProtection="1">
      <alignment horizontal="center"/>
    </xf>
    <xf numFmtId="3" fontId="38" fillId="10" borderId="12" xfId="11" applyNumberFormat="1" applyFont="1" applyFill="1" applyBorder="1" applyAlignment="1" applyProtection="1">
      <alignment horizontal="center"/>
    </xf>
    <xf numFmtId="0" fontId="24" fillId="0" borderId="0" xfId="0" applyFont="1" applyFill="1" applyAlignment="1">
      <alignment horizontal="left" vertical="top"/>
    </xf>
    <xf numFmtId="0" fontId="25" fillId="0" borderId="0" xfId="0" applyFont="1" applyAlignment="1">
      <alignment horizontal="left" wrapText="1"/>
    </xf>
    <xf numFmtId="0" fontId="0" fillId="15" borderId="0" xfId="0" quotePrefix="1" applyFill="1" applyAlignment="1">
      <alignment horizontal="left" vertical="top" wrapText="1"/>
    </xf>
    <xf numFmtId="0" fontId="0" fillId="15" borderId="0" xfId="0" applyFill="1" applyAlignment="1">
      <alignment horizontal="left" vertical="top" wrapText="1"/>
    </xf>
    <xf numFmtId="0" fontId="0" fillId="15" borderId="0" xfId="0" quotePrefix="1" applyFill="1" applyAlignment="1">
      <alignment horizontal="left" wrapText="1"/>
    </xf>
    <xf numFmtId="0" fontId="24" fillId="16" borderId="0" xfId="0" applyFont="1" applyFill="1" applyAlignment="1">
      <alignment horizontal="left" vertical="top"/>
    </xf>
    <xf numFmtId="0" fontId="0" fillId="16" borderId="0" xfId="0" applyFill="1" applyAlignment="1">
      <alignment horizontal="left" wrapText="1"/>
    </xf>
    <xf numFmtId="0" fontId="24" fillId="9" borderId="0" xfId="0" applyFont="1" applyFill="1" applyAlignment="1">
      <alignment horizontal="left" vertical="top"/>
    </xf>
    <xf numFmtId="0" fontId="0" fillId="9" borderId="0" xfId="0" applyFill="1" applyAlignment="1">
      <alignment horizontal="left" wrapText="1"/>
    </xf>
    <xf numFmtId="0" fontId="0" fillId="14" borderId="0" xfId="0" quotePrefix="1" applyFill="1" applyAlignment="1">
      <alignment horizontal="left" wrapText="1"/>
    </xf>
    <xf numFmtId="0" fontId="22" fillId="13" borderId="0" xfId="0" applyFont="1" applyFill="1" applyAlignment="1">
      <alignment horizontal="center" wrapText="1"/>
    </xf>
    <xf numFmtId="0" fontId="0" fillId="14" borderId="0" xfId="0" applyFill="1" applyAlignment="1">
      <alignment horizontal="left" vertical="top" wrapText="1"/>
    </xf>
    <xf numFmtId="0" fontId="0" fillId="14" borderId="0" xfId="0" applyFont="1" applyFill="1" applyAlignment="1">
      <alignment horizontal="left" wrapText="1"/>
    </xf>
    <xf numFmtId="0" fontId="37" fillId="11" borderId="30" xfId="6" applyFont="1" applyFill="1" applyBorder="1" applyAlignment="1" applyProtection="1">
      <alignment horizontal="left" vertical="center"/>
      <protection locked="0"/>
    </xf>
    <xf numFmtId="0" fontId="37" fillId="11" borderId="29" xfId="6" applyFont="1" applyFill="1" applyBorder="1" applyAlignment="1" applyProtection="1">
      <alignment horizontal="left" vertical="center"/>
      <protection locked="0"/>
    </xf>
    <xf numFmtId="0" fontId="37" fillId="11" borderId="29" xfId="6" applyFont="1" applyFill="1" applyBorder="1" applyAlignment="1" applyProtection="1">
      <alignment horizontal="center" vertical="center"/>
      <protection locked="0"/>
    </xf>
    <xf numFmtId="0" fontId="37" fillId="11" borderId="30" xfId="6" applyFont="1" applyFill="1" applyBorder="1" applyAlignment="1" applyProtection="1">
      <alignment horizontal="center" vertical="center"/>
      <protection locked="0"/>
    </xf>
    <xf numFmtId="0" fontId="37" fillId="10" borderId="29" xfId="6" applyFont="1" applyFill="1" applyBorder="1" applyAlignment="1" applyProtection="1">
      <alignment horizontal="left" vertical="center"/>
      <protection locked="0"/>
    </xf>
    <xf numFmtId="0" fontId="27" fillId="6" borderId="0" xfId="7" applyFont="1" applyFill="1" applyBorder="1" applyAlignment="1" applyProtection="1">
      <alignment horizontal="center" vertical="center" wrapText="1"/>
    </xf>
    <xf numFmtId="0" fontId="44" fillId="7" borderId="26" xfId="7" applyFont="1" applyFill="1" applyBorder="1" applyAlignment="1" applyProtection="1">
      <alignment horizontal="center" vertical="center"/>
    </xf>
    <xf numFmtId="3" fontId="37" fillId="7" borderId="0" xfId="6" applyNumberFormat="1" applyFont="1" applyFill="1" applyBorder="1" applyAlignment="1" applyProtection="1">
      <alignment horizontal="left" vertical="top" wrapText="1"/>
      <protection locked="0"/>
    </xf>
    <xf numFmtId="3" fontId="37" fillId="7" borderId="0" xfId="6" applyNumberFormat="1" applyFont="1" applyFill="1" applyBorder="1" applyAlignment="1" applyProtection="1">
      <alignment horizontal="left" vertical="top"/>
      <protection locked="0"/>
    </xf>
    <xf numFmtId="3" fontId="37" fillId="7" borderId="49" xfId="6" applyNumberFormat="1" applyFont="1" applyFill="1" applyBorder="1" applyAlignment="1" applyProtection="1">
      <alignment horizontal="left" vertical="top"/>
      <protection locked="0"/>
    </xf>
    <xf numFmtId="0" fontId="29" fillId="6" borderId="0" xfId="7" applyFont="1" applyFill="1" applyBorder="1" applyAlignment="1" applyProtection="1">
      <alignment horizontal="center" vertical="center" wrapText="1"/>
    </xf>
    <xf numFmtId="0" fontId="29" fillId="6" borderId="49" xfId="7" applyFont="1" applyFill="1" applyBorder="1" applyAlignment="1" applyProtection="1">
      <alignment horizontal="center" vertical="center" wrapText="1"/>
    </xf>
    <xf numFmtId="3" fontId="44" fillId="7" borderId="26" xfId="7" applyNumberFormat="1" applyFont="1" applyFill="1" applyBorder="1" applyAlignment="1" applyProtection="1">
      <alignment horizontal="center" vertical="center"/>
    </xf>
    <xf numFmtId="3" fontId="44" fillId="7" borderId="54" xfId="7" applyNumberFormat="1" applyFont="1" applyFill="1" applyBorder="1" applyAlignment="1" applyProtection="1">
      <alignment horizontal="center" vertical="center"/>
    </xf>
    <xf numFmtId="0" fontId="29" fillId="6" borderId="53" xfId="7" applyFont="1" applyFill="1" applyBorder="1" applyAlignment="1" applyProtection="1">
      <alignment horizontal="center" vertical="center" wrapText="1"/>
    </xf>
    <xf numFmtId="3" fontId="44" fillId="7" borderId="29" xfId="7" applyNumberFormat="1" applyFont="1" applyFill="1" applyBorder="1" applyAlignment="1" applyProtection="1">
      <alignment horizontal="center" vertical="center"/>
    </xf>
    <xf numFmtId="3" fontId="44" fillId="7" borderId="55" xfId="7" applyNumberFormat="1" applyFont="1" applyFill="1" applyBorder="1" applyAlignment="1" applyProtection="1">
      <alignment horizontal="center" vertical="center"/>
    </xf>
  </cellXfs>
  <cellStyles count="15">
    <cellStyle name="dbkatalog" xfId="2"/>
    <cellStyle name="DB-Katalog" xfId="3"/>
    <cellStyle name="Komma" xfId="14" builtinId="3"/>
    <cellStyle name="Link" xfId="13" builtinId="8"/>
    <cellStyle name="Milliers 2" xfId="4"/>
    <cellStyle name="Milliers 3" xfId="10"/>
    <cellStyle name="Normal 2" xfId="1"/>
    <cellStyle name="Normal 3" xfId="9"/>
    <cellStyle name="Normal 4" xfId="11"/>
    <cellStyle name="Pourcentage 2" xfId="5"/>
    <cellStyle name="Prozent" xfId="12" builtinId="5"/>
    <cellStyle name="Standard" xfId="0" builtinId="0"/>
    <cellStyle name="Standard_Gemüse-97" xfId="6"/>
    <cellStyle name="Standard_WW GH_1" xfId="7"/>
    <cellStyle name="test" xfId="8"/>
  </cellStyles>
  <dxfs count="0"/>
  <tableStyles count="0" defaultTableStyle="TableStyleMedium2" defaultPivotStyle="PivotStyleLight16"/>
  <colors>
    <mruColors>
      <color rgb="FFDDDDDD"/>
      <color rgb="FF99CCFF"/>
      <color rgb="FFFFFFCC"/>
      <color rgb="FFE7E6E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1119024</xdr:colOff>
      <xdr:row>4</xdr:row>
      <xdr:rowOff>180975</xdr:rowOff>
    </xdr:to>
    <xdr:pic>
      <xdr:nvPicPr>
        <xdr:cNvPr id="3"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74792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1333500</xdr:colOff>
      <xdr:row>0</xdr:row>
      <xdr:rowOff>66675</xdr:rowOff>
    </xdr:from>
    <xdr:to>
      <xdr:col>1</xdr:col>
      <xdr:colOff>3160061</xdr:colOff>
      <xdr:row>4</xdr:row>
      <xdr:rowOff>80652</xdr:rowOff>
    </xdr:to>
    <xdr:pic>
      <xdr:nvPicPr>
        <xdr:cNvPr id="4" name="Image 2" descr="http://www.fibl.org/fileadmin/images/allgemein/logos/fibl/FiB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62400" y="66675"/>
          <a:ext cx="1826561" cy="77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XCEL-Entw\Deckungsbeitr&#228;ge\DB%25202007\DB-07-Entwicklung\Getreide07\Getrei07-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Einleitung"/>
      <sheetName val="Leistungen"/>
      <sheetName val="Kosten"/>
      <sheetName val="Anbauverfahren"/>
      <sheetName val="WW GH"/>
      <sheetName val="WW EH"/>
      <sheetName val="SW GH"/>
      <sheetName val="Dinkel GH"/>
      <sheetName val="Dinkel EH"/>
      <sheetName val="Roggen GH"/>
      <sheetName val="Roggen EH"/>
      <sheetName val="Emmer"/>
      <sheetName val="Hafer  EH"/>
      <sheetName val="Triticale GH"/>
      <sheetName val="WG GH"/>
      <sheetName val="Hafer GH "/>
      <sheetName val="VZ"/>
      <sheetName val="Hilfsdaten"/>
      <sheetName val="Allg. Bemerk."/>
      <sheetName val="modDBKAT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ww.maschinenkosten.ch/" TargetMode="External"/><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B39"/>
  <sheetViews>
    <sheetView showGridLines="0" zoomScaleNormal="100" zoomScaleSheetLayoutView="100" workbookViewId="0">
      <selection activeCell="D7" sqref="D7"/>
    </sheetView>
  </sheetViews>
  <sheetFormatPr baseColWidth="10" defaultRowHeight="14.5" x14ac:dyDescent="0.35"/>
  <cols>
    <col min="1" max="1" width="39.36328125" customWidth="1"/>
    <col min="2" max="2" width="54.26953125" customWidth="1"/>
  </cols>
  <sheetData>
    <row r="7" spans="1:2" ht="44.25" customHeight="1" x14ac:dyDescent="0.55000000000000004">
      <c r="A7" s="427" t="s">
        <v>296</v>
      </c>
      <c r="B7" s="427"/>
    </row>
    <row r="8" spans="1:2" ht="15.5" x14ac:dyDescent="0.35">
      <c r="A8" s="112" t="s">
        <v>125</v>
      </c>
      <c r="B8" s="100"/>
    </row>
    <row r="9" spans="1:2" ht="75" customHeight="1" x14ac:dyDescent="0.35">
      <c r="A9" s="428" t="s">
        <v>126</v>
      </c>
      <c r="B9" s="428"/>
    </row>
    <row r="10" spans="1:2" ht="45" customHeight="1" x14ac:dyDescent="0.35">
      <c r="A10" s="429" t="s">
        <v>127</v>
      </c>
      <c r="B10" s="429"/>
    </row>
    <row r="11" spans="1:2" ht="90" customHeight="1" x14ac:dyDescent="0.35">
      <c r="A11" s="428" t="s">
        <v>128</v>
      </c>
      <c r="B11" s="428"/>
    </row>
    <row r="12" spans="1:2" s="99" customFormat="1" ht="7.5" customHeight="1" x14ac:dyDescent="0.35">
      <c r="A12" s="101"/>
      <c r="B12" s="101"/>
    </row>
    <row r="13" spans="1:2" ht="15.5" x14ac:dyDescent="0.35">
      <c r="A13" s="102" t="s">
        <v>129</v>
      </c>
      <c r="B13" s="100"/>
    </row>
    <row r="14" spans="1:2" ht="30" customHeight="1" x14ac:dyDescent="0.35">
      <c r="A14" s="428" t="s">
        <v>130</v>
      </c>
      <c r="B14" s="428"/>
    </row>
    <row r="15" spans="1:2" x14ac:dyDescent="0.35">
      <c r="A15" s="103" t="s">
        <v>131</v>
      </c>
      <c r="B15" s="100"/>
    </row>
    <row r="16" spans="1:2" x14ac:dyDescent="0.35">
      <c r="A16" s="103" t="s">
        <v>132</v>
      </c>
      <c r="B16" s="100"/>
    </row>
    <row r="17" spans="1:2" x14ac:dyDescent="0.35">
      <c r="A17" s="103" t="s">
        <v>133</v>
      </c>
      <c r="B17" s="100"/>
    </row>
    <row r="18" spans="1:2" x14ac:dyDescent="0.35">
      <c r="A18" s="104" t="s">
        <v>134</v>
      </c>
      <c r="B18" s="100"/>
    </row>
    <row r="19" spans="1:2" x14ac:dyDescent="0.35">
      <c r="A19" s="105" t="s">
        <v>135</v>
      </c>
      <c r="B19" s="100"/>
    </row>
    <row r="20" spans="1:2" x14ac:dyDescent="0.35">
      <c r="A20" s="103" t="s">
        <v>136</v>
      </c>
      <c r="B20" s="100"/>
    </row>
    <row r="21" spans="1:2" x14ac:dyDescent="0.35">
      <c r="A21" s="103" t="s">
        <v>137</v>
      </c>
      <c r="B21" s="100"/>
    </row>
    <row r="22" spans="1:2" x14ac:dyDescent="0.35">
      <c r="A22" s="103" t="s">
        <v>138</v>
      </c>
      <c r="B22" s="100"/>
    </row>
    <row r="23" spans="1:2" ht="7.5" customHeight="1" x14ac:dyDescent="0.35">
      <c r="A23" s="100"/>
      <c r="B23" s="100"/>
    </row>
    <row r="24" spans="1:2" ht="30" customHeight="1" x14ac:dyDescent="0.35">
      <c r="A24" s="426" t="s">
        <v>139</v>
      </c>
      <c r="B24" s="426"/>
    </row>
    <row r="25" spans="1:2" ht="7.5" customHeight="1" x14ac:dyDescent="0.35">
      <c r="A25" s="106"/>
      <c r="B25" s="106"/>
    </row>
    <row r="26" spans="1:2" ht="15.5" x14ac:dyDescent="0.35">
      <c r="A26" s="107" t="s">
        <v>140</v>
      </c>
      <c r="B26" s="106"/>
    </row>
    <row r="27" spans="1:2" ht="105" customHeight="1" x14ac:dyDescent="0.35">
      <c r="A27" s="419" t="s">
        <v>141</v>
      </c>
      <c r="B27" s="420"/>
    </row>
    <row r="28" spans="1:2" ht="45" customHeight="1" x14ac:dyDescent="0.35">
      <c r="A28" s="421" t="s">
        <v>142</v>
      </c>
      <c r="B28" s="421"/>
    </row>
    <row r="29" spans="1:2" ht="7.5" customHeight="1" x14ac:dyDescent="0.35">
      <c r="A29" s="109"/>
      <c r="B29" s="109"/>
    </row>
    <row r="30" spans="1:2" ht="15.5" x14ac:dyDescent="0.35">
      <c r="A30" s="422" t="s">
        <v>143</v>
      </c>
      <c r="B30" s="422"/>
    </row>
    <row r="31" spans="1:2" ht="30" customHeight="1" x14ac:dyDescent="0.35">
      <c r="A31" s="423" t="s">
        <v>144</v>
      </c>
      <c r="B31" s="423"/>
    </row>
    <row r="32" spans="1:2" ht="3.75" customHeight="1" x14ac:dyDescent="0.35">
      <c r="A32" s="111"/>
      <c r="B32" s="111"/>
    </row>
    <row r="33" spans="1:2" ht="15.75" customHeight="1" x14ac:dyDescent="0.35">
      <c r="A33" s="424" t="s">
        <v>145</v>
      </c>
      <c r="B33" s="424"/>
    </row>
    <row r="34" spans="1:2" ht="90" customHeight="1" x14ac:dyDescent="0.35">
      <c r="A34" s="425" t="s">
        <v>146</v>
      </c>
      <c r="B34" s="425"/>
    </row>
    <row r="35" spans="1:2" s="108" customFormat="1" ht="3.75" customHeight="1" x14ac:dyDescent="0.35">
      <c r="A35" s="110"/>
      <c r="B35" s="110"/>
    </row>
    <row r="36" spans="1:2" s="108" customFormat="1" ht="15.75" customHeight="1" x14ac:dyDescent="0.35">
      <c r="A36" s="417" t="s">
        <v>147</v>
      </c>
      <c r="B36" s="417"/>
    </row>
    <row r="37" spans="1:2" s="108" customFormat="1" x14ac:dyDescent="0.35">
      <c r="A37" s="108" t="s">
        <v>148</v>
      </c>
    </row>
    <row r="38" spans="1:2" x14ac:dyDescent="0.35">
      <c r="A38" t="s">
        <v>149</v>
      </c>
    </row>
    <row r="39" spans="1:2" ht="30" customHeight="1" x14ac:dyDescent="0.35">
      <c r="A39" s="418" t="s">
        <v>150</v>
      </c>
      <c r="B39" s="418"/>
    </row>
  </sheetData>
  <sheetProtection sheet="1" objects="1" scenarios="1"/>
  <mergeCells count="14">
    <mergeCell ref="A24:B24"/>
    <mergeCell ref="A7:B7"/>
    <mergeCell ref="A9:B9"/>
    <mergeCell ref="A10:B10"/>
    <mergeCell ref="A11:B11"/>
    <mergeCell ref="A14:B14"/>
    <mergeCell ref="A36:B36"/>
    <mergeCell ref="A39:B39"/>
    <mergeCell ref="A27:B27"/>
    <mergeCell ref="A28:B28"/>
    <mergeCell ref="A30:B30"/>
    <mergeCell ref="A31:B31"/>
    <mergeCell ref="A33:B33"/>
    <mergeCell ref="A34:B34"/>
  </mergeCells>
  <pageMargins left="0.70866141732283472" right="0.70866141732283472" top="0.78740157480314965" bottom="0.78740157480314965" header="0.31496062992125984" footer="0.31496062992125984"/>
  <pageSetup paperSize="9" scale="9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tabSelected="1" zoomScaleNormal="100" workbookViewId="0">
      <selection activeCell="G10" sqref="G10"/>
    </sheetView>
  </sheetViews>
  <sheetFormatPr baseColWidth="10" defaultColWidth="11.36328125" defaultRowHeight="14.5" x14ac:dyDescent="0.35"/>
  <cols>
    <col min="1" max="1" width="22.81640625" style="78" customWidth="1"/>
    <col min="2" max="2" width="35.7265625" style="78" customWidth="1"/>
    <col min="3" max="4" width="5.7265625" style="78" customWidth="1"/>
    <col min="5" max="5" width="4.26953125" style="78" customWidth="1"/>
    <col min="6" max="7" width="8.54296875" style="78" customWidth="1"/>
    <col min="8" max="8" width="7.1796875" style="78" customWidth="1"/>
    <col min="9" max="9" width="0.81640625" style="79" customWidth="1"/>
    <col min="10" max="10" width="22.81640625" style="78" customWidth="1"/>
    <col min="11" max="11" width="35.7265625" style="78" customWidth="1"/>
    <col min="12" max="13" width="5.7265625" style="78" customWidth="1"/>
    <col min="14" max="14" width="4.26953125" style="78" customWidth="1"/>
    <col min="15" max="16" width="8.54296875" style="78" customWidth="1"/>
    <col min="17" max="17" width="10.36328125" style="78" customWidth="1"/>
    <col min="18" max="18" width="0.81640625" style="79" customWidth="1"/>
    <col min="19" max="19" width="22.81640625" style="78" customWidth="1"/>
    <col min="20" max="20" width="35.7265625" style="78" customWidth="1"/>
    <col min="21" max="22" width="5.7265625" style="78" customWidth="1"/>
    <col min="23" max="23" width="4.26953125" style="78" customWidth="1"/>
    <col min="24" max="25" width="8.54296875" style="78" customWidth="1"/>
    <col min="26" max="26" width="7.26953125" style="78" customWidth="1"/>
    <col min="27" max="27" width="9.26953125" style="78" hidden="1" customWidth="1"/>
    <col min="28" max="29" width="5" style="78" hidden="1" customWidth="1"/>
    <col min="30" max="35" width="11.36328125" style="78" customWidth="1"/>
    <col min="36" max="16384" width="11.36328125" style="78"/>
  </cols>
  <sheetData>
    <row r="1" spans="1:29" ht="26" customHeight="1" x14ac:dyDescent="0.55000000000000004">
      <c r="A1" s="249" t="s">
        <v>220</v>
      </c>
    </row>
    <row r="2" spans="1:29" ht="3.75" customHeight="1" x14ac:dyDescent="0.4">
      <c r="A2" s="77"/>
    </row>
    <row r="3" spans="1:29" ht="29" customHeight="1" x14ac:dyDescent="0.35">
      <c r="A3" s="435" t="s">
        <v>221</v>
      </c>
      <c r="B3" s="435"/>
      <c r="C3" s="435"/>
      <c r="D3" s="435"/>
      <c r="E3" s="435"/>
      <c r="F3" s="435"/>
      <c r="G3" s="435"/>
      <c r="H3" s="435"/>
      <c r="I3" s="67"/>
      <c r="J3" s="435" t="s">
        <v>222</v>
      </c>
      <c r="K3" s="435"/>
      <c r="L3" s="435"/>
      <c r="M3" s="435"/>
      <c r="N3" s="435"/>
      <c r="O3" s="435"/>
      <c r="P3" s="435"/>
      <c r="Q3" s="435"/>
      <c r="R3" s="67"/>
      <c r="S3" s="435" t="s">
        <v>288</v>
      </c>
      <c r="T3" s="435"/>
      <c r="U3" s="435"/>
      <c r="V3" s="435"/>
      <c r="W3" s="435"/>
      <c r="X3" s="435"/>
      <c r="Y3" s="435"/>
      <c r="Z3" s="435"/>
    </row>
    <row r="4" spans="1:29" x14ac:dyDescent="0.35">
      <c r="A4" s="266"/>
      <c r="B4" s="266"/>
      <c r="C4" s="266"/>
      <c r="D4" s="266"/>
      <c r="E4" s="250" t="s">
        <v>11</v>
      </c>
      <c r="F4" s="250" t="s">
        <v>223</v>
      </c>
      <c r="G4" s="251" t="s">
        <v>224</v>
      </c>
      <c r="H4" s="251" t="s">
        <v>225</v>
      </c>
      <c r="I4" s="267"/>
      <c r="J4" s="266"/>
      <c r="K4" s="266"/>
      <c r="L4" s="266"/>
      <c r="M4" s="266"/>
      <c r="N4" s="250" t="s">
        <v>11</v>
      </c>
      <c r="O4" s="250" t="s">
        <v>223</v>
      </c>
      <c r="P4" s="251" t="s">
        <v>224</v>
      </c>
      <c r="Q4" s="251" t="s">
        <v>225</v>
      </c>
      <c r="R4" s="267"/>
      <c r="S4" s="266"/>
      <c r="T4" s="266"/>
      <c r="U4" s="266"/>
      <c r="V4" s="266"/>
      <c r="W4" s="250" t="s">
        <v>11</v>
      </c>
      <c r="X4" s="250" t="s">
        <v>223</v>
      </c>
      <c r="Y4" s="251" t="s">
        <v>224</v>
      </c>
      <c r="Z4" s="251" t="s">
        <v>225</v>
      </c>
    </row>
    <row r="5" spans="1:29" x14ac:dyDescent="0.35">
      <c r="A5" s="252" t="s">
        <v>226</v>
      </c>
      <c r="B5" s="253"/>
      <c r="C5" s="253"/>
      <c r="D5" s="253" t="s">
        <v>227</v>
      </c>
      <c r="E5" s="252"/>
      <c r="F5" s="268"/>
      <c r="G5" s="252"/>
      <c r="H5" s="252"/>
      <c r="I5" s="269"/>
      <c r="J5" s="252" t="s">
        <v>226</v>
      </c>
      <c r="K5" s="253"/>
      <c r="L5" s="253"/>
      <c r="M5" s="253" t="s">
        <v>227</v>
      </c>
      <c r="N5" s="252"/>
      <c r="O5" s="252"/>
      <c r="P5" s="252"/>
      <c r="Q5" s="252"/>
      <c r="R5" s="269"/>
      <c r="S5" s="252" t="s">
        <v>226</v>
      </c>
      <c r="T5" s="253"/>
      <c r="U5" s="253"/>
      <c r="V5" s="253" t="s">
        <v>227</v>
      </c>
      <c r="W5" s="252"/>
      <c r="X5" s="252"/>
      <c r="Y5" s="252"/>
      <c r="Z5" s="252"/>
      <c r="AA5" s="80" t="s">
        <v>40</v>
      </c>
      <c r="AB5" s="81"/>
      <c r="AC5" s="81"/>
    </row>
    <row r="6" spans="1:29" ht="4" customHeight="1" x14ac:dyDescent="0.35">
      <c r="A6" s="254"/>
      <c r="B6" s="254"/>
      <c r="C6" s="254"/>
      <c r="D6" s="254"/>
      <c r="E6" s="250"/>
      <c r="F6" s="250"/>
      <c r="G6" s="251"/>
      <c r="H6" s="270"/>
      <c r="I6" s="269"/>
      <c r="J6" s="271"/>
      <c r="K6" s="254"/>
      <c r="L6" s="254"/>
      <c r="M6" s="254"/>
      <c r="N6" s="250"/>
      <c r="O6" s="250"/>
      <c r="P6" s="251"/>
      <c r="Q6" s="270"/>
      <c r="R6" s="269"/>
      <c r="S6" s="271"/>
      <c r="T6" s="254"/>
      <c r="U6" s="254"/>
      <c r="V6" s="254"/>
      <c r="W6" s="250"/>
      <c r="X6" s="250"/>
      <c r="Y6" s="251"/>
      <c r="Z6" s="270"/>
      <c r="AA6" s="83">
        <v>1</v>
      </c>
      <c r="AB6" s="84">
        <v>2</v>
      </c>
      <c r="AC6" s="84">
        <v>3</v>
      </c>
    </row>
    <row r="7" spans="1:29" x14ac:dyDescent="0.35">
      <c r="A7" s="431" t="s">
        <v>281</v>
      </c>
      <c r="B7" s="431"/>
      <c r="C7" s="432" t="s">
        <v>210</v>
      </c>
      <c r="D7" s="432"/>
      <c r="E7" s="272" t="str">
        <f>IF(ISBLANK(A7),"",VLOOKUP(A7,'Anhang Maschinen &amp; Arbeiten'!$D$7:$E$255,2,0))</f>
        <v>ha</v>
      </c>
      <c r="F7" s="273">
        <v>2</v>
      </c>
      <c r="G7" s="274" t="s">
        <v>215</v>
      </c>
      <c r="H7" s="275">
        <f>IF(ISBLANK(A7),"",IF(VLOOKUP(C7,Q!$A$6:$B$7,2,FALSE)=2,IF(G7="Eigentum",(VLOOKUP(Annahmen!A7,'Anhang Maschinen &amp; Arbeiten'!$D$7:$L$256,5,FALSE)+VLOOKUP(Annahmen!A7,'Anhang Maschinen &amp; Arbeiten'!$D$7:$L$256,7,FALSE))*F7,IF(G7="Lohnunt.",(VLOOKUP(Annahmen!A7,'Anhang Maschinen &amp; Arbeiten'!$D$7:$L$256,9,FALSE))*F7,(VLOOKUP(Annahmen!A7,'Anhang Maschinen &amp; Arbeiten'!$D$7:$L$256,8,FALSE)+VLOOKUP(A7,'Anhang Maschinen &amp; Arbeiten'!$D$7:$L$256,5,FALSE))*F7)),IF(G7="Eigentum",(VLOOKUP(Annahmen!A7,'Anhang Maschinen &amp; Arbeiten'!$D$7:$L$256,6,FALSE)+VLOOKUP(Annahmen!A7,'Anhang Maschinen &amp; Arbeiten'!$D$7:$L$256,7,FALSE))*F7,IF(G7="Lohnunt.",(VLOOKUP(Annahmen!A7,'Anhang Maschinen &amp; Arbeiten'!$D$7:$L$256,9,FALSE))*F7,(VLOOKUP(Annahmen!A7,'Anhang Maschinen &amp; Arbeiten'!$D$7:$L$256,8,FALSE)+VLOOKUP(A7,'Anhang Maschinen &amp; Arbeiten'!$D$7:$L$256,6,FALSE))*F7))))</f>
        <v>108.27959999999999</v>
      </c>
      <c r="I7" s="269"/>
      <c r="J7" s="431" t="s">
        <v>281</v>
      </c>
      <c r="K7" s="431"/>
      <c r="L7" s="432" t="s">
        <v>210</v>
      </c>
      <c r="M7" s="432"/>
      <c r="N7" s="272" t="str">
        <f>IF(ISBLANK(J7),"",VLOOKUP(J7,'Anhang Maschinen &amp; Arbeiten'!$D$7:$E$255,2,0))</f>
        <v>ha</v>
      </c>
      <c r="O7" s="276">
        <v>2</v>
      </c>
      <c r="P7" s="274" t="s">
        <v>215</v>
      </c>
      <c r="Q7" s="275">
        <f>IF(ISBLANK(J7),"",IF(VLOOKUP(L7,Q!$A$6:$B$7,2,FALSE)=2,IF(P7="Eigentum",(VLOOKUP(Annahmen!J7,'Anhang Maschinen &amp; Arbeiten'!$D$7:$L$256,5,FALSE)+VLOOKUP(Annahmen!J7,'Anhang Maschinen &amp; Arbeiten'!$D$7:$L$256,7,FALSE))*O7,IF(P7="Lohnunt.",(VLOOKUP(Annahmen!J7,'Anhang Maschinen &amp; Arbeiten'!$D$7:$L$256,9,FALSE))*O7,(VLOOKUP(Annahmen!J7,'Anhang Maschinen &amp; Arbeiten'!$D$7:$L$256,8,FALSE)+VLOOKUP(J7,'Anhang Maschinen &amp; Arbeiten'!$D$7:$L$256,5,FALSE))*O7)),IF(P7="Eigentum",(VLOOKUP(Annahmen!J7,'Anhang Maschinen &amp; Arbeiten'!$D$7:$L$256,6,FALSE)+VLOOKUP(Annahmen!J7,'Anhang Maschinen &amp; Arbeiten'!$D$7:$L$256,7,FALSE))*O7,IF(P7="Lohnunt.",(VLOOKUP(Annahmen!J7,'Anhang Maschinen &amp; Arbeiten'!$D$7:$L$256,9,FALSE))*O7,(VLOOKUP(Annahmen!J7,'Anhang Maschinen &amp; Arbeiten'!$D$7:$L$256,8,FALSE)+VLOOKUP(J7,'Anhang Maschinen &amp; Arbeiten'!$D$7:$L$256,6,FALSE))*O7))))</f>
        <v>108.27959999999999</v>
      </c>
      <c r="R7" s="269"/>
      <c r="S7" s="431" t="s">
        <v>206</v>
      </c>
      <c r="T7" s="431"/>
      <c r="U7" s="432" t="s">
        <v>210</v>
      </c>
      <c r="V7" s="432"/>
      <c r="W7" s="272" t="str">
        <f>IF(ISBLANK(S7),"",VLOOKUP(S7,'Anhang Maschinen &amp; Arbeiten'!$D$7:$E$255,2,0))</f>
        <v>ha</v>
      </c>
      <c r="X7" s="276">
        <v>1</v>
      </c>
      <c r="Y7" s="274" t="s">
        <v>215</v>
      </c>
      <c r="Z7" s="275">
        <f>IF(ISBLANK(S7),"",IF(VLOOKUP(U7,Q!$A$6:$B$7,2,FALSE)=2,IF(Y7="Eigentum",(VLOOKUP(Annahmen!S7,'Anhang Maschinen &amp; Arbeiten'!$D$7:$L$256,5,FALSE)+VLOOKUP(Annahmen!S7,'Anhang Maschinen &amp; Arbeiten'!$D$7:$L$256,7,FALSE))*X7,IF(Y7="Lohnunt.",(VLOOKUP(Annahmen!S7,'Anhang Maschinen &amp; Arbeiten'!$D$7:$L$256,9,FALSE))*X7,(VLOOKUP(Annahmen!S7,'Anhang Maschinen &amp; Arbeiten'!$D$7:$L$256,8,FALSE)+VLOOKUP(S7,'Anhang Maschinen &amp; Arbeiten'!$D$7:$L$256,5,FALSE))*X7)),IF(Y7="Eigentum",(VLOOKUP(Annahmen!S7,'Anhang Maschinen &amp; Arbeiten'!$D$7:$L$256,6,FALSE)+VLOOKUP(Annahmen!S7,'Anhang Maschinen &amp; Arbeiten'!$D$7:$L$256,7,FALSE))*X7,IF(Y7="Lohnunt.",(VLOOKUP(Annahmen!S7,'Anhang Maschinen &amp; Arbeiten'!$D$7:$L$256,9,FALSE))*X7,(VLOOKUP(Annahmen!S7,'Anhang Maschinen &amp; Arbeiten'!$D$7:$L$256,8,FALSE)+VLOOKUP(S7,'Anhang Maschinen &amp; Arbeiten'!$D$7:$L$256,6,FALSE))*X7))))</f>
        <v>156.95519999999999</v>
      </c>
      <c r="AA7" s="85" t="str">
        <f>IF(G7="location",VLOOKUP(Annahmen!A7,'Anhang Maschinen &amp; Arbeiten'!$D$7:$L$256,IF(VLOOKUP($E$5,Q!$A$6:$B$7,2,FALSE)=2,4,5),FALSE)*F7,"")</f>
        <v/>
      </c>
      <c r="AB7" s="85" t="str">
        <f>IF(P7="location",VLOOKUP(Annahmen!J7,'Anhang Maschinen &amp; Arbeiten'!$D$7:$L$256,IF(VLOOKUP($N$5,Q!$A$6:$B$7,2,FALSE)=2,4,5),FALSE)*O7,"")</f>
        <v/>
      </c>
      <c r="AC7" s="85" t="str">
        <f>IF(Y7="location",VLOOKUP(Annahmen!S7,'Anhang Maschinen &amp; Arbeiten'!$D$7:$L$256,IF(VLOOKUP($W$5,Q!$A$6:$B$7,2,FALSE)=2,4,5),FALSE)*X7,"")</f>
        <v/>
      </c>
    </row>
    <row r="8" spans="1:29" x14ac:dyDescent="0.35">
      <c r="A8" s="431" t="s">
        <v>207</v>
      </c>
      <c r="B8" s="431"/>
      <c r="C8" s="432" t="s">
        <v>210</v>
      </c>
      <c r="D8" s="432"/>
      <c r="E8" s="272" t="str">
        <f>IF(ISBLANK(A8),"",VLOOKUP(A8,'Anhang Maschinen &amp; Arbeiten'!$D$7:$E$255,2,0))</f>
        <v>ha</v>
      </c>
      <c r="F8" s="273">
        <v>1</v>
      </c>
      <c r="G8" s="274" t="s">
        <v>214</v>
      </c>
      <c r="H8" s="275">
        <f>IF(ISBLANK(A8),"",IF(VLOOKUP(C8,Q!$A$6:$B$7,2,FALSE)=2,IF(G8="Eigentum",(VLOOKUP(Annahmen!A8,'Anhang Maschinen &amp; Arbeiten'!$D$7:$L$256,5,FALSE)+VLOOKUP(Annahmen!A8,'Anhang Maschinen &amp; Arbeiten'!$D$7:$L$256,7,FALSE))*F8,IF(G8="Lohnunt.",(VLOOKUP(Annahmen!A8,'Anhang Maschinen &amp; Arbeiten'!$D$7:$L$256,9,FALSE))*F8,(VLOOKUP(Annahmen!A8,'Anhang Maschinen &amp; Arbeiten'!$D$7:$L$256,8,FALSE)+VLOOKUP(A8,'Anhang Maschinen &amp; Arbeiten'!$D$7:$L$256,5,FALSE))*F8)),IF(G8="Eigentum",(VLOOKUP(Annahmen!A8,'Anhang Maschinen &amp; Arbeiten'!$D$7:$L$256,6,FALSE)+VLOOKUP(Annahmen!A8,'Anhang Maschinen &amp; Arbeiten'!$D$7:$L$256,7,FALSE))*F8,IF(G8="Lohnunt.",(VLOOKUP(Annahmen!A8,'Anhang Maschinen &amp; Arbeiten'!$D$7:$L$256,9,FALSE))*F8,(VLOOKUP(Annahmen!A8,'Anhang Maschinen &amp; Arbeiten'!$D$7:$L$256,8,FALSE)+VLOOKUP(A8,'Anhang Maschinen &amp; Arbeiten'!$D$7:$L$256,6,FALSE))*F8))))</f>
        <v>25.596299999999999</v>
      </c>
      <c r="I8" s="269"/>
      <c r="J8" s="431" t="s">
        <v>207</v>
      </c>
      <c r="K8" s="431"/>
      <c r="L8" s="432" t="s">
        <v>210</v>
      </c>
      <c r="M8" s="432"/>
      <c r="N8" s="272" t="str">
        <f>IF(ISBLANK(J8),"",VLOOKUP(J8,'Anhang Maschinen &amp; Arbeiten'!$D$7:$E$255,2,0))</f>
        <v>ha</v>
      </c>
      <c r="O8" s="276">
        <v>1</v>
      </c>
      <c r="P8" s="274" t="s">
        <v>215</v>
      </c>
      <c r="Q8" s="275">
        <f>IF(ISBLANK(J8),"",IF(VLOOKUP(L8,Q!$A$6:$B$7,2,FALSE)=2,IF(P8="Eigentum",(VLOOKUP(Annahmen!J8,'Anhang Maschinen &amp; Arbeiten'!$D$7:$L$256,5,FALSE)+VLOOKUP(Annahmen!J8,'Anhang Maschinen &amp; Arbeiten'!$D$7:$L$256,7,FALSE))*O8,IF(P8="Lohnunt.",(VLOOKUP(Annahmen!J8,'Anhang Maschinen &amp; Arbeiten'!$D$7:$L$256,9,FALSE))*O8,(VLOOKUP(Annahmen!J8,'Anhang Maschinen &amp; Arbeiten'!$D$7:$L$256,8,FALSE)+VLOOKUP(J8,'Anhang Maschinen &amp; Arbeiten'!$D$7:$L$256,5,FALSE))*O8)),IF(P8="Eigentum",(VLOOKUP(Annahmen!J8,'Anhang Maschinen &amp; Arbeiten'!$D$7:$L$256,6,FALSE)+VLOOKUP(Annahmen!J8,'Anhang Maschinen &amp; Arbeiten'!$D$7:$L$256,7,FALSE))*O8,IF(P8="Lohnunt.",(VLOOKUP(Annahmen!J8,'Anhang Maschinen &amp; Arbeiten'!$D$7:$L$256,9,FALSE))*O8,(VLOOKUP(Annahmen!J8,'Anhang Maschinen &amp; Arbeiten'!$D$7:$L$256,8,FALSE)+VLOOKUP(J8,'Anhang Maschinen &amp; Arbeiten'!$D$7:$L$256,6,FALSE))*O8))))</f>
        <v>59.796300000000002</v>
      </c>
      <c r="R8" s="269"/>
      <c r="S8" s="431" t="s">
        <v>284</v>
      </c>
      <c r="T8" s="431"/>
      <c r="U8" s="432" t="s">
        <v>210</v>
      </c>
      <c r="V8" s="432"/>
      <c r="W8" s="272" t="str">
        <f>IF(ISBLANK(S8),"",VLOOKUP(S8,'Anhang Maschinen &amp; Arbeiten'!$D$7:$E$255,2,0))</f>
        <v>ha</v>
      </c>
      <c r="X8" s="276">
        <v>1</v>
      </c>
      <c r="Y8" s="274" t="s">
        <v>214</v>
      </c>
      <c r="Z8" s="275">
        <f>IF(ISBLANK(S8),"",IF(VLOOKUP(U8,Q!$A$6:$B$7,2,FALSE)=2,IF(Y8="Eigentum",(VLOOKUP(Annahmen!S8,'Anhang Maschinen &amp; Arbeiten'!$D$7:$L$256,5,FALSE)+VLOOKUP(Annahmen!S8,'Anhang Maschinen &amp; Arbeiten'!$D$7:$L$256,7,FALSE))*X8,IF(Y8="Lohnunt.",(VLOOKUP(Annahmen!S8,'Anhang Maschinen &amp; Arbeiten'!$D$7:$L$256,9,FALSE))*X8,(VLOOKUP(Annahmen!S8,'Anhang Maschinen &amp; Arbeiten'!$D$7:$L$256,8,FALSE)+VLOOKUP(S8,'Anhang Maschinen &amp; Arbeiten'!$D$7:$L$256,5,FALSE))*X8)),IF(Y8="Eigentum",(VLOOKUP(Annahmen!S8,'Anhang Maschinen &amp; Arbeiten'!$D$7:$L$256,6,FALSE)+VLOOKUP(Annahmen!S8,'Anhang Maschinen &amp; Arbeiten'!$D$7:$L$256,7,FALSE))*X8,IF(Y8="Lohnunt.",(VLOOKUP(Annahmen!S8,'Anhang Maschinen &amp; Arbeiten'!$D$7:$L$256,9,FALSE))*X8,(VLOOKUP(Annahmen!S8,'Anhang Maschinen &amp; Arbeiten'!$D$7:$L$256,8,FALSE)+VLOOKUP(S8,'Anhang Maschinen &amp; Arbeiten'!$D$7:$L$256,6,FALSE))*X8))))</f>
        <v>40.569299999999998</v>
      </c>
      <c r="AA8" s="85" t="str">
        <f>IF(G8="location",VLOOKUP(Annahmen!A8,'Anhang Maschinen &amp; Arbeiten'!$D$7:$L$256,IF(VLOOKUP($E$5,Q!$A$6:$B$7,2,FALSE)=2,4,5),FALSE)*F8,"")</f>
        <v/>
      </c>
      <c r="AB8" s="85" t="str">
        <f>IF(P8="location",VLOOKUP(Annahmen!J8,'Anhang Maschinen &amp; Arbeiten'!$D$7:$L$256,IF(VLOOKUP($N$5,Q!$A$6:$B$7,2,FALSE)=2,4,5),FALSE)*O8,"")</f>
        <v/>
      </c>
      <c r="AC8" s="85" t="str">
        <f>IF(Y8="location",VLOOKUP(Annahmen!S8,'Anhang Maschinen &amp; Arbeiten'!$D$7:$L$256,IF(VLOOKUP($W$5,Q!$A$6:$B$7,2,FALSE)=2,4,5),FALSE)*X8,"")</f>
        <v/>
      </c>
    </row>
    <row r="9" spans="1:29" x14ac:dyDescent="0.35">
      <c r="A9" s="431" t="s">
        <v>282</v>
      </c>
      <c r="B9" s="431"/>
      <c r="C9" s="432" t="s">
        <v>210</v>
      </c>
      <c r="D9" s="432"/>
      <c r="E9" s="272" t="str">
        <f>IF(ISBLANK(A9),"",VLOOKUP(A9,'Anhang Maschinen &amp; Arbeiten'!$D$7:$E$255,2,0))</f>
        <v>ha</v>
      </c>
      <c r="F9" s="273">
        <v>1</v>
      </c>
      <c r="G9" s="274" t="s">
        <v>216</v>
      </c>
      <c r="H9" s="275">
        <f>IF(ISBLANK(A9),"",IF(VLOOKUP(C9,Q!$A$6:$B$7,2,FALSE)=2,IF(G9="Eigentum",(VLOOKUP(Annahmen!A9,'Anhang Maschinen &amp; Arbeiten'!$D$7:$L$256,5,FALSE)+VLOOKUP(Annahmen!A9,'Anhang Maschinen &amp; Arbeiten'!$D$7:$L$256,7,FALSE))*F9,IF(G9="Lohnunt.",(VLOOKUP(Annahmen!A9,'Anhang Maschinen &amp; Arbeiten'!$D$7:$L$256,9,FALSE))*F9,(VLOOKUP(Annahmen!A9,'Anhang Maschinen &amp; Arbeiten'!$D$7:$L$256,8,FALSE)+VLOOKUP(A9,'Anhang Maschinen &amp; Arbeiten'!$D$7:$L$256,5,FALSE))*F9)),IF(G9="Eigentum",(VLOOKUP(Annahmen!A9,'Anhang Maschinen &amp; Arbeiten'!$D$7:$L$256,6,FALSE)+VLOOKUP(Annahmen!A9,'Anhang Maschinen &amp; Arbeiten'!$D$7:$L$256,7,FALSE))*F9,IF(G9="Lohnunt.",(VLOOKUP(Annahmen!A9,'Anhang Maschinen &amp; Arbeiten'!$D$7:$L$256,9,FALSE))*F9,(VLOOKUP(Annahmen!A9,'Anhang Maschinen &amp; Arbeiten'!$D$7:$L$256,8,FALSE)+VLOOKUP(A9,'Anhang Maschinen &amp; Arbeiten'!$D$7:$L$256,6,FALSE))*F9))))</f>
        <v>130</v>
      </c>
      <c r="I9" s="269"/>
      <c r="J9" s="431" t="s">
        <v>282</v>
      </c>
      <c r="K9" s="431"/>
      <c r="L9" s="432" t="s">
        <v>210</v>
      </c>
      <c r="M9" s="432"/>
      <c r="N9" s="272" t="str">
        <f>IF(ISBLANK(J9),"",VLOOKUP(J9,'Anhang Maschinen &amp; Arbeiten'!$D$7:$E$255,2,0))</f>
        <v>ha</v>
      </c>
      <c r="O9" s="276">
        <v>1</v>
      </c>
      <c r="P9" s="274" t="s">
        <v>216</v>
      </c>
      <c r="Q9" s="275">
        <f>IF(ISBLANK(J9),"",IF(VLOOKUP(L9,Q!$A$6:$B$7,2,FALSE)=2,IF(P9="Eigentum",(VLOOKUP(Annahmen!J9,'Anhang Maschinen &amp; Arbeiten'!$D$7:$L$256,5,FALSE)+VLOOKUP(Annahmen!J9,'Anhang Maschinen &amp; Arbeiten'!$D$7:$L$256,7,FALSE))*O9,IF(P9="Lohnunt.",(VLOOKUP(Annahmen!J9,'Anhang Maschinen &amp; Arbeiten'!$D$7:$L$256,9,FALSE))*O9,(VLOOKUP(Annahmen!J9,'Anhang Maschinen &amp; Arbeiten'!$D$7:$L$256,8,FALSE)+VLOOKUP(J9,'Anhang Maschinen &amp; Arbeiten'!$D$7:$L$256,5,FALSE))*O9)),IF(P9="Eigentum",(VLOOKUP(Annahmen!J9,'Anhang Maschinen &amp; Arbeiten'!$D$7:$L$256,6,FALSE)+VLOOKUP(Annahmen!J9,'Anhang Maschinen &amp; Arbeiten'!$D$7:$L$256,7,FALSE))*O9,IF(P9="Lohnunt.",(VLOOKUP(Annahmen!J9,'Anhang Maschinen &amp; Arbeiten'!$D$7:$L$256,9,FALSE))*O9,(VLOOKUP(Annahmen!J9,'Anhang Maschinen &amp; Arbeiten'!$D$7:$L$256,8,FALSE)+VLOOKUP(J9,'Anhang Maschinen &amp; Arbeiten'!$D$7:$L$256,6,FALSE))*O9))))</f>
        <v>130</v>
      </c>
      <c r="R9" s="269"/>
      <c r="S9" s="431" t="s">
        <v>285</v>
      </c>
      <c r="T9" s="431"/>
      <c r="U9" s="432" t="s">
        <v>210</v>
      </c>
      <c r="V9" s="432"/>
      <c r="W9" s="272" t="str">
        <f>IF(ISBLANK(S9),"",VLOOKUP(S9,'Anhang Maschinen &amp; Arbeiten'!$D$7:$E$255,2,0))</f>
        <v>ha</v>
      </c>
      <c r="X9" s="276">
        <v>1</v>
      </c>
      <c r="Y9" s="274" t="s">
        <v>214</v>
      </c>
      <c r="Z9" s="275">
        <f>IF(ISBLANK(S9),"",IF(VLOOKUP(U9,Q!$A$6:$B$7,2,FALSE)=2,IF(Y9="Eigentum",(VLOOKUP(Annahmen!S9,'Anhang Maschinen &amp; Arbeiten'!$D$7:$L$256,5,FALSE)+VLOOKUP(Annahmen!S9,'Anhang Maschinen &amp; Arbeiten'!$D$7:$L$256,7,FALSE))*X9,IF(Y9="Lohnunt.",(VLOOKUP(Annahmen!S9,'Anhang Maschinen &amp; Arbeiten'!$D$7:$L$256,9,FALSE))*X9,(VLOOKUP(Annahmen!S9,'Anhang Maschinen &amp; Arbeiten'!$D$7:$L$256,8,FALSE)+VLOOKUP(S9,'Anhang Maschinen &amp; Arbeiten'!$D$7:$L$256,5,FALSE))*X9)),IF(Y9="Eigentum",(VLOOKUP(Annahmen!S9,'Anhang Maschinen &amp; Arbeiten'!$D$7:$L$256,6,FALSE)+VLOOKUP(Annahmen!S9,'Anhang Maschinen &amp; Arbeiten'!$D$7:$L$256,7,FALSE))*X9,IF(Y9="Lohnunt.",(VLOOKUP(Annahmen!S9,'Anhang Maschinen &amp; Arbeiten'!$D$7:$L$256,9,FALSE))*X9,(VLOOKUP(Annahmen!S9,'Anhang Maschinen &amp; Arbeiten'!$D$7:$L$256,8,FALSE)+VLOOKUP(S9,'Anhang Maschinen &amp; Arbeiten'!$D$7:$L$256,6,FALSE))*X9))))</f>
        <v>63.754285714285714</v>
      </c>
      <c r="AA9" s="85" t="str">
        <f>IF(G9="location",VLOOKUP(Annahmen!A9,'Anhang Maschinen &amp; Arbeiten'!$D$7:$L$256,IF(VLOOKUP($E$5,Q!$A$6:$B$7,2,FALSE)=2,4,5),FALSE)*F9,"")</f>
        <v/>
      </c>
      <c r="AB9" s="85" t="str">
        <f>IF(P9="location",VLOOKUP(Annahmen!J9,'Anhang Maschinen &amp; Arbeiten'!$D$7:$L$256,IF(VLOOKUP($N$5,Q!$A$6:$B$7,2,FALSE)=2,4,5),FALSE)*O9,"")</f>
        <v/>
      </c>
      <c r="AC9" s="85" t="str">
        <f>IF(Y9="location",VLOOKUP(Annahmen!S9,'Anhang Maschinen &amp; Arbeiten'!$D$7:$L$256,IF(VLOOKUP($W$5,Q!$A$6:$B$7,2,FALSE)=2,4,5),FALSE)*X9,"")</f>
        <v/>
      </c>
    </row>
    <row r="10" spans="1:29" x14ac:dyDescent="0.35">
      <c r="A10" s="431"/>
      <c r="B10" s="431"/>
      <c r="C10" s="432"/>
      <c r="D10" s="432"/>
      <c r="E10" s="272" t="str">
        <f>IF(ISBLANK(A10),"",VLOOKUP(A10,'Anhang Maschinen &amp; Arbeiten'!$D$7:$E$255,2,0))</f>
        <v/>
      </c>
      <c r="F10" s="273"/>
      <c r="G10" s="274"/>
      <c r="H10" s="275" t="str">
        <f>IF(ISBLANK(A10),"",IF(VLOOKUP(C10,Q!$A$6:$B$7,2,FALSE)=2,IF(G10="Eigentum",(VLOOKUP(Annahmen!A10,'Anhang Maschinen &amp; Arbeiten'!$D$7:$L$256,5,FALSE)+VLOOKUP(Annahmen!A10,'Anhang Maschinen &amp; Arbeiten'!$D$7:$L$256,7,FALSE))*F10,IF(G10="Lohnunt.",(VLOOKUP(Annahmen!A10,'Anhang Maschinen &amp; Arbeiten'!$D$7:$L$256,9,FALSE))*F10,(VLOOKUP(Annahmen!A10,'Anhang Maschinen &amp; Arbeiten'!$D$7:$L$256,8,FALSE)+VLOOKUP(A10,'Anhang Maschinen &amp; Arbeiten'!$D$7:$L$256,5,FALSE))*F10)),IF(G10="Eigentum",(VLOOKUP(Annahmen!A10,'Anhang Maschinen &amp; Arbeiten'!$D$7:$L$256,6,FALSE)+VLOOKUP(Annahmen!A10,'Anhang Maschinen &amp; Arbeiten'!$D$7:$L$256,7,FALSE))*F10,IF(G10="Lohnunt.",(VLOOKUP(Annahmen!A10,'Anhang Maschinen &amp; Arbeiten'!$D$7:$L$256,9,FALSE))*F10,(VLOOKUP(Annahmen!A10,'Anhang Maschinen &amp; Arbeiten'!$D$7:$L$256,8,FALSE)+VLOOKUP(A10,'Anhang Maschinen &amp; Arbeiten'!$D$7:$L$256,6,FALSE))*F10))))</f>
        <v/>
      </c>
      <c r="I10" s="269"/>
      <c r="J10" s="431"/>
      <c r="K10" s="431"/>
      <c r="L10" s="432"/>
      <c r="M10" s="432"/>
      <c r="N10" s="272" t="str">
        <f>IF(ISBLANK(J10),"",VLOOKUP(J10,'Anhang Maschinen &amp; Arbeiten'!$D$7:$E$255,2,0))</f>
        <v/>
      </c>
      <c r="O10" s="276"/>
      <c r="P10" s="274"/>
      <c r="Q10" s="275" t="str">
        <f>IF(ISBLANK(J10),"",IF(VLOOKUP(L10,Q!$A$6:$B$7,2,FALSE)=2,IF(P10="Eigentum",(VLOOKUP(Annahmen!J10,'Anhang Maschinen &amp; Arbeiten'!$D$7:$L$256,5,FALSE)+VLOOKUP(Annahmen!J10,'Anhang Maschinen &amp; Arbeiten'!$D$7:$L$256,7,FALSE))*O10,IF(P10="Lohnunt.",(VLOOKUP(Annahmen!J10,'Anhang Maschinen &amp; Arbeiten'!$D$7:$L$256,9,FALSE))*O10,(VLOOKUP(Annahmen!J10,'Anhang Maschinen &amp; Arbeiten'!$D$7:$L$256,8,FALSE)+VLOOKUP(J10,'Anhang Maschinen &amp; Arbeiten'!$D$7:$L$256,5,FALSE))*O10)),IF(P10="Eigentum",(VLOOKUP(Annahmen!J10,'Anhang Maschinen &amp; Arbeiten'!$D$7:$L$256,6,FALSE)+VLOOKUP(Annahmen!J10,'Anhang Maschinen &amp; Arbeiten'!$D$7:$L$256,7,FALSE))*O10,IF(P10="Lohnunt.",(VLOOKUP(Annahmen!J10,'Anhang Maschinen &amp; Arbeiten'!$D$7:$L$256,9,FALSE))*O10,(VLOOKUP(Annahmen!J10,'Anhang Maschinen &amp; Arbeiten'!$D$7:$L$256,8,FALSE)+VLOOKUP(J10,'Anhang Maschinen &amp; Arbeiten'!$D$7:$L$256,6,FALSE))*O10))))</f>
        <v/>
      </c>
      <c r="R10" s="269"/>
      <c r="S10" s="431" t="s">
        <v>207</v>
      </c>
      <c r="T10" s="431"/>
      <c r="U10" s="432" t="s">
        <v>210</v>
      </c>
      <c r="V10" s="432"/>
      <c r="W10" s="272" t="str">
        <f>IF(ISBLANK(S10),"",VLOOKUP(S10,'Anhang Maschinen &amp; Arbeiten'!$D$7:$E$255,2,0))</f>
        <v>ha</v>
      </c>
      <c r="X10" s="276">
        <v>1</v>
      </c>
      <c r="Y10" s="274" t="s">
        <v>214</v>
      </c>
      <c r="Z10" s="275">
        <f>IF(ISBLANK(S10),"",IF(VLOOKUP(U10,Q!$A$6:$B$7,2,FALSE)=2,IF(Y10="Eigentum",(VLOOKUP(Annahmen!S10,'Anhang Maschinen &amp; Arbeiten'!$D$7:$L$256,5,FALSE)+VLOOKUP(Annahmen!S10,'Anhang Maschinen &amp; Arbeiten'!$D$7:$L$256,7,FALSE))*X10,IF(Y10="Lohnunt.",(VLOOKUP(Annahmen!S10,'Anhang Maschinen &amp; Arbeiten'!$D$7:$L$256,9,FALSE))*X10,(VLOOKUP(Annahmen!S10,'Anhang Maschinen &amp; Arbeiten'!$D$7:$L$256,8,FALSE)+VLOOKUP(S10,'Anhang Maschinen &amp; Arbeiten'!$D$7:$L$256,5,FALSE))*X10)),IF(Y10="Eigentum",(VLOOKUP(Annahmen!S10,'Anhang Maschinen &amp; Arbeiten'!$D$7:$L$256,6,FALSE)+VLOOKUP(Annahmen!S10,'Anhang Maschinen &amp; Arbeiten'!$D$7:$L$256,7,FALSE))*X10,IF(Y10="Lohnunt.",(VLOOKUP(Annahmen!S10,'Anhang Maschinen &amp; Arbeiten'!$D$7:$L$256,9,FALSE))*X10,(VLOOKUP(Annahmen!S10,'Anhang Maschinen &amp; Arbeiten'!$D$7:$L$256,8,FALSE)+VLOOKUP(S10,'Anhang Maschinen &amp; Arbeiten'!$D$7:$L$256,6,FALSE))*X10))))</f>
        <v>25.596299999999999</v>
      </c>
      <c r="AA10" s="85" t="str">
        <f>IF(G10="location",VLOOKUP(Annahmen!A10,'Anhang Maschinen &amp; Arbeiten'!$D$7:$L$256,IF(VLOOKUP($E$5,Q!$A$6:$B$7,2,FALSE)=2,4,5),FALSE)*F10,"")</f>
        <v/>
      </c>
      <c r="AB10" s="85" t="str">
        <f>IF(P10="location",VLOOKUP(Annahmen!J10,'Anhang Maschinen &amp; Arbeiten'!$D$7:$L$256,IF(VLOOKUP($N$5,Q!$A$6:$B$7,2,FALSE)=2,4,5),FALSE)*O10,"")</f>
        <v/>
      </c>
      <c r="AC10" s="85" t="str">
        <f>IF(Y10="location",VLOOKUP(Annahmen!S10,'Anhang Maschinen &amp; Arbeiten'!$D$7:$L$256,IF(VLOOKUP($W$5,Q!$A$6:$B$7,2,FALSE)=2,4,5),FALSE)*X10,"")</f>
        <v/>
      </c>
    </row>
    <row r="11" spans="1:29" x14ac:dyDescent="0.35">
      <c r="A11" s="430"/>
      <c r="B11" s="430"/>
      <c r="C11" s="433"/>
      <c r="D11" s="433"/>
      <c r="E11" s="272" t="str">
        <f>IF(ISBLANK(A11),"",VLOOKUP(A11,'Anhang Maschinen &amp; Arbeiten'!$D$7:$E$255,2,0))</f>
        <v/>
      </c>
      <c r="F11" s="277"/>
      <c r="G11" s="274" t="s">
        <v>83</v>
      </c>
      <c r="H11" s="275" t="str">
        <f>IF(ISBLANK(A11),"",IF(VLOOKUP(C11,Q!$A$6:$B$7,2,FALSE)=2,IF(G11="Eigentum",(VLOOKUP(Annahmen!A11,'Anhang Maschinen &amp; Arbeiten'!$D$7:$L$256,5,FALSE)+VLOOKUP(Annahmen!A11,'Anhang Maschinen &amp; Arbeiten'!$D$7:$L$256,7,FALSE))*F11,IF(G11="Lohnunt.",(VLOOKUP(Annahmen!A11,'Anhang Maschinen &amp; Arbeiten'!$D$7:$L$256,9,FALSE))*F11,(VLOOKUP(Annahmen!A11,'Anhang Maschinen &amp; Arbeiten'!$D$7:$L$256,8,FALSE)+VLOOKUP(A11,'Anhang Maschinen &amp; Arbeiten'!$D$7:$L$256,5,FALSE))*F11)),IF(G11="Eigentum",(VLOOKUP(Annahmen!A11,'Anhang Maschinen &amp; Arbeiten'!$D$7:$L$256,6,FALSE)+VLOOKUP(Annahmen!A11,'Anhang Maschinen &amp; Arbeiten'!$D$7:$L$256,7,FALSE))*F11,IF(G11="Lohnunt.",(VLOOKUP(Annahmen!A11,'Anhang Maschinen &amp; Arbeiten'!$D$7:$L$256,9,FALSE))*F11,(VLOOKUP(Annahmen!A11,'Anhang Maschinen &amp; Arbeiten'!$D$7:$L$256,8,FALSE)+VLOOKUP(A11,'Anhang Maschinen &amp; Arbeiten'!$D$7:$L$256,6,FALSE))*F11))))</f>
        <v/>
      </c>
      <c r="I11" s="269"/>
      <c r="J11" s="430"/>
      <c r="K11" s="430"/>
      <c r="L11" s="433"/>
      <c r="M11" s="433"/>
      <c r="N11" s="272" t="str">
        <f>IF(ISBLANK(J11),"",VLOOKUP(J11,'Anhang Maschinen &amp; Arbeiten'!$D$7:$E$255,2,0))</f>
        <v/>
      </c>
      <c r="O11" s="278"/>
      <c r="P11" s="274" t="s">
        <v>83</v>
      </c>
      <c r="Q11" s="275" t="str">
        <f>IF(ISBLANK(J11),"",IF(VLOOKUP(L11,Q!$A$6:$B$7,2,FALSE)=2,IF(P11="Eigentum",(VLOOKUP(Annahmen!J11,'Anhang Maschinen &amp; Arbeiten'!$D$7:$L$256,5,FALSE)+VLOOKUP(Annahmen!J11,'Anhang Maschinen &amp; Arbeiten'!$D$7:$L$256,7,FALSE))*O11,IF(P11="Lohnunt.",(VLOOKUP(Annahmen!J11,'Anhang Maschinen &amp; Arbeiten'!$D$7:$L$256,9,FALSE))*O11,(VLOOKUP(Annahmen!J11,'Anhang Maschinen &amp; Arbeiten'!$D$7:$L$256,8,FALSE)+VLOOKUP(J11,'Anhang Maschinen &amp; Arbeiten'!$D$7:$L$256,5,FALSE))*O11)),IF(P11="Eigentum",(VLOOKUP(Annahmen!J11,'Anhang Maschinen &amp; Arbeiten'!$D$7:$L$256,6,FALSE)+VLOOKUP(Annahmen!J11,'Anhang Maschinen &amp; Arbeiten'!$D$7:$L$256,7,FALSE))*O11,IF(P11="Lohnunt.",(VLOOKUP(Annahmen!J11,'Anhang Maschinen &amp; Arbeiten'!$D$7:$L$256,9,FALSE))*O11,(VLOOKUP(Annahmen!J11,'Anhang Maschinen &amp; Arbeiten'!$D$7:$L$256,8,FALSE)+VLOOKUP(J11,'Anhang Maschinen &amp; Arbeiten'!$D$7:$L$256,6,FALSE))*O11))))</f>
        <v/>
      </c>
      <c r="R11" s="269"/>
      <c r="S11" s="430"/>
      <c r="T11" s="430"/>
      <c r="U11" s="432"/>
      <c r="V11" s="432"/>
      <c r="W11" s="272" t="str">
        <f>IF(ISBLANK(S11),"",VLOOKUP(S11,'Anhang Maschinen &amp; Arbeiten'!$D$7:$E$255,2,0))</f>
        <v/>
      </c>
      <c r="X11" s="278"/>
      <c r="Y11" s="274" t="s">
        <v>83</v>
      </c>
      <c r="Z11" s="275" t="str">
        <f>IF(ISBLANK(S11),"",IF(VLOOKUP(U11,Q!$A$6:$B$7,2,FALSE)=2,IF(Y11="Eigentum",(VLOOKUP(Annahmen!S11,'Anhang Maschinen &amp; Arbeiten'!$D$7:$L$256,5,FALSE)+VLOOKUP(Annahmen!S11,'Anhang Maschinen &amp; Arbeiten'!$D$7:$L$256,7,FALSE))*X11,IF(Y11="Lohnunt.",(VLOOKUP(Annahmen!S11,'Anhang Maschinen &amp; Arbeiten'!$D$7:$L$256,9,FALSE))*X11,(VLOOKUP(Annahmen!S11,'Anhang Maschinen &amp; Arbeiten'!$D$7:$L$256,8,FALSE)+VLOOKUP(S11,'Anhang Maschinen &amp; Arbeiten'!$D$7:$L$256,5,FALSE))*X11)),IF(Y11="Eigentum",(VLOOKUP(Annahmen!S11,'Anhang Maschinen &amp; Arbeiten'!$D$7:$L$256,6,FALSE)+VLOOKUP(Annahmen!S11,'Anhang Maschinen &amp; Arbeiten'!$D$7:$L$256,7,FALSE))*X11,IF(Y11="Lohnunt.",(VLOOKUP(Annahmen!S11,'Anhang Maschinen &amp; Arbeiten'!$D$7:$L$256,9,FALSE))*X11,(VLOOKUP(Annahmen!S11,'Anhang Maschinen &amp; Arbeiten'!$D$7:$L$256,8,FALSE)+VLOOKUP(S11,'Anhang Maschinen &amp; Arbeiten'!$D$7:$L$256,6,FALSE))*X11))))</f>
        <v/>
      </c>
      <c r="AA11" s="85" t="str">
        <f>IF(G11="location",VLOOKUP(Annahmen!A11,'Anhang Maschinen &amp; Arbeiten'!$D$7:$L$256,IF(VLOOKUP($E$5,Q!$A$6:$B$7,2,FALSE)=2,4,5),FALSE)*F11,"")</f>
        <v/>
      </c>
      <c r="AB11" s="85" t="str">
        <f>IF(P11="location",VLOOKUP(Annahmen!J11,'Anhang Maschinen &amp; Arbeiten'!$D$7:$L$256,IF(VLOOKUP($N$5,Q!$A$6:$B$7,2,FALSE)=2,4,5),FALSE)*O11,"")</f>
        <v/>
      </c>
      <c r="AC11" s="85" t="str">
        <f>IF(Y11="location",VLOOKUP(Annahmen!S11,'Anhang Maschinen &amp; Arbeiten'!$D$7:$L$256,IF(VLOOKUP($W$5,Q!$A$6:$B$7,2,FALSE)=2,4,5),FALSE)*X11,"")</f>
        <v/>
      </c>
    </row>
    <row r="12" spans="1:29" ht="3.75" customHeight="1" x14ac:dyDescent="0.35">
      <c r="A12" s="254"/>
      <c r="B12" s="254"/>
      <c r="C12" s="254"/>
      <c r="D12" s="254"/>
      <c r="E12" s="254"/>
      <c r="F12" s="254"/>
      <c r="G12" s="254"/>
      <c r="H12" s="255"/>
      <c r="I12" s="256"/>
      <c r="J12" s="254"/>
      <c r="K12" s="254"/>
      <c r="L12" s="254"/>
      <c r="M12" s="254"/>
      <c r="N12" s="254"/>
      <c r="O12" s="254"/>
      <c r="P12" s="254"/>
      <c r="Q12" s="255"/>
      <c r="R12" s="256"/>
      <c r="S12" s="254"/>
      <c r="T12" s="254"/>
      <c r="U12" s="254"/>
      <c r="V12" s="254"/>
      <c r="W12" s="254"/>
      <c r="X12" s="254"/>
      <c r="Y12" s="254"/>
      <c r="Z12" s="255"/>
    </row>
    <row r="13" spans="1:29" x14ac:dyDescent="0.35">
      <c r="A13" s="252" t="s">
        <v>228</v>
      </c>
      <c r="B13" s="252"/>
      <c r="C13" s="252"/>
      <c r="D13" s="252"/>
      <c r="E13" s="252"/>
      <c r="F13" s="252"/>
      <c r="G13" s="252"/>
      <c r="H13" s="279"/>
      <c r="I13" s="269"/>
      <c r="J13" s="252" t="s">
        <v>228</v>
      </c>
      <c r="K13" s="252"/>
      <c r="L13" s="252"/>
      <c r="M13" s="252"/>
      <c r="N13" s="252"/>
      <c r="O13" s="252"/>
      <c r="P13" s="252"/>
      <c r="Q13" s="279"/>
      <c r="R13" s="269"/>
      <c r="S13" s="252" t="s">
        <v>228</v>
      </c>
      <c r="T13" s="252"/>
      <c r="U13" s="252"/>
      <c r="V13" s="252"/>
      <c r="W13" s="252"/>
      <c r="X13" s="252"/>
      <c r="Y13" s="252"/>
      <c r="Z13" s="279"/>
      <c r="AA13" s="85"/>
      <c r="AB13" s="85"/>
      <c r="AC13" s="85"/>
    </row>
    <row r="14" spans="1:29" ht="4" customHeight="1" x14ac:dyDescent="0.35">
      <c r="A14" s="254"/>
      <c r="B14" s="254"/>
      <c r="C14" s="254"/>
      <c r="D14" s="254"/>
      <c r="E14" s="250"/>
      <c r="F14" s="250"/>
      <c r="G14" s="251"/>
      <c r="H14" s="275"/>
      <c r="I14" s="269"/>
      <c r="J14" s="271"/>
      <c r="K14" s="254"/>
      <c r="L14" s="254"/>
      <c r="M14" s="254"/>
      <c r="N14" s="250"/>
      <c r="O14" s="250"/>
      <c r="P14" s="251"/>
      <c r="Q14" s="275"/>
      <c r="R14" s="269"/>
      <c r="S14" s="271"/>
      <c r="T14" s="254"/>
      <c r="U14" s="254"/>
      <c r="V14" s="254"/>
      <c r="W14" s="250"/>
      <c r="X14" s="250"/>
      <c r="Y14" s="251"/>
      <c r="Z14" s="275"/>
      <c r="AA14" s="83"/>
      <c r="AB14" s="84"/>
      <c r="AC14" s="84"/>
    </row>
    <row r="15" spans="1:29" x14ac:dyDescent="0.35">
      <c r="A15" s="431" t="s">
        <v>217</v>
      </c>
      <c r="B15" s="431"/>
      <c r="C15" s="432" t="s">
        <v>210</v>
      </c>
      <c r="D15" s="432"/>
      <c r="E15" s="272" t="str">
        <f>IF(ISBLANK(A15),"",VLOOKUP(A15,'Anhang Maschinen &amp; Arbeiten'!$D$7:$E$255,2,0))</f>
        <v>ha</v>
      </c>
      <c r="F15" s="273">
        <v>1</v>
      </c>
      <c r="G15" s="274" t="s">
        <v>214</v>
      </c>
      <c r="H15" s="275">
        <f>IF(ISBLANK(A15),"",IF(VLOOKUP(C15,Q!$A$6:$B$7,2,FALSE)=2,IF(G15="Eigentum",(VLOOKUP(Annahmen!A15,'Anhang Maschinen &amp; Arbeiten'!$D$7:$L$256,5,FALSE)+VLOOKUP(Annahmen!A15,'Anhang Maschinen &amp; Arbeiten'!$D$7:$L$256,7,FALSE))*F15,IF(G15="Lohnunt.",(VLOOKUP(Annahmen!A15,'Anhang Maschinen &amp; Arbeiten'!$D$7:$L$256,9,FALSE))*F15,(VLOOKUP(Annahmen!A15,'Anhang Maschinen &amp; Arbeiten'!$D$7:$L$256,8,FALSE)+VLOOKUP(A15,'Anhang Maschinen &amp; Arbeiten'!$D$7:$L$256,5,FALSE))*F15)),IF(G15="Eigentum",(VLOOKUP(Annahmen!A15,'Anhang Maschinen &amp; Arbeiten'!$D$7:$L$256,6,FALSE)+VLOOKUP(Annahmen!A15,'Anhang Maschinen &amp; Arbeiten'!$D$7:$L$256,7,FALSE))*F15,IF(G15="Lohnunt.",(VLOOKUP(Annahmen!A15,'Anhang Maschinen &amp; Arbeiten'!$D$7:$L$256,9,FALSE))*F15,(VLOOKUP(Annahmen!A15,'Anhang Maschinen &amp; Arbeiten'!$D$7:$L$256,8,FALSE)+VLOOKUP(A15,'Anhang Maschinen &amp; Arbeiten'!$D$7:$L$256,6,FALSE))*F15))))</f>
        <v>9.5459999999999994</v>
      </c>
      <c r="I15" s="280"/>
      <c r="J15" s="431" t="s">
        <v>217</v>
      </c>
      <c r="K15" s="431"/>
      <c r="L15" s="432" t="s">
        <v>210</v>
      </c>
      <c r="M15" s="432"/>
      <c r="N15" s="272" t="str">
        <f>IF(ISBLANK(J15),"",VLOOKUP(J15,'Anhang Maschinen &amp; Arbeiten'!$D$7:$E$255,2,0))</f>
        <v>ha</v>
      </c>
      <c r="O15" s="276">
        <v>1</v>
      </c>
      <c r="P15" s="274" t="s">
        <v>214</v>
      </c>
      <c r="Q15" s="275">
        <f>IF(ISBLANK(J15),"",IF(VLOOKUP(L15,Q!$A$6:$B$7,2,FALSE)=2,IF(P15="Eigentum",(VLOOKUP(Annahmen!J15,'Anhang Maschinen &amp; Arbeiten'!$D$7:$L$256,5,FALSE)+VLOOKUP(Annahmen!J15,'Anhang Maschinen &amp; Arbeiten'!$D$7:$L$256,7,FALSE))*O15,IF(P15="Lohnunt.",(VLOOKUP(Annahmen!J15,'Anhang Maschinen &amp; Arbeiten'!$D$7:$L$256,9,FALSE))*O15,(VLOOKUP(Annahmen!J15,'Anhang Maschinen &amp; Arbeiten'!$D$7:$L$256,8,FALSE)+VLOOKUP(J15,'Anhang Maschinen &amp; Arbeiten'!$D$7:$L$256,5,FALSE))*O15)),IF(P15="Eigentum",(VLOOKUP(Annahmen!J15,'Anhang Maschinen &amp; Arbeiten'!$D$7:$L$256,6,FALSE)+VLOOKUP(Annahmen!J15,'Anhang Maschinen &amp; Arbeiten'!$D$7:$L$256,7,FALSE))*O15,IF(P15="Lohnunt.",(VLOOKUP(Annahmen!J15,'Anhang Maschinen &amp; Arbeiten'!$D$7:$L$256,9,FALSE))*O15,(VLOOKUP(Annahmen!J15,'Anhang Maschinen &amp; Arbeiten'!$D$7:$L$256,8,FALSE)+VLOOKUP(J15,'Anhang Maschinen &amp; Arbeiten'!$D$7:$L$256,6,FALSE))*O15))))</f>
        <v>9.5459999999999994</v>
      </c>
      <c r="R15" s="280"/>
      <c r="S15" s="431" t="s">
        <v>286</v>
      </c>
      <c r="T15" s="431"/>
      <c r="U15" s="432" t="s">
        <v>210</v>
      </c>
      <c r="V15" s="432"/>
      <c r="W15" s="272" t="str">
        <f>IF(ISBLANK(S15),"",VLOOKUP(S15,'Anhang Maschinen &amp; Arbeiten'!$D$7:$E$255,2,0))</f>
        <v>ha</v>
      </c>
      <c r="X15" s="276">
        <v>2</v>
      </c>
      <c r="Y15" s="274" t="s">
        <v>214</v>
      </c>
      <c r="Z15" s="275">
        <f>IF(ISBLANK(S15),"",IF(VLOOKUP(U15,Q!$A$6:$B$7,2,FALSE)=2,IF(Y15="Eigentum",(VLOOKUP(Annahmen!S15,'Anhang Maschinen &amp; Arbeiten'!$D$7:$L$256,5,FALSE)+VLOOKUP(Annahmen!S15,'Anhang Maschinen &amp; Arbeiten'!$D$7:$L$256,7,FALSE))*X15,IF(Y15="Lohnunt.",(VLOOKUP(Annahmen!S15,'Anhang Maschinen &amp; Arbeiten'!$D$7:$L$256,9,FALSE))*X15,(VLOOKUP(Annahmen!S15,'Anhang Maschinen &amp; Arbeiten'!$D$7:$L$256,8,FALSE)+VLOOKUP(S15,'Anhang Maschinen &amp; Arbeiten'!$D$7:$L$256,5,FALSE))*X15)),IF(Y15="Eigentum",(VLOOKUP(Annahmen!S15,'Anhang Maschinen &amp; Arbeiten'!$D$7:$L$256,6,FALSE)+VLOOKUP(Annahmen!S15,'Anhang Maschinen &amp; Arbeiten'!$D$7:$L$256,7,FALSE))*X15,IF(Y15="Lohnunt.",(VLOOKUP(Annahmen!S15,'Anhang Maschinen &amp; Arbeiten'!$D$7:$L$256,9,FALSE))*X15,(VLOOKUP(Annahmen!S15,'Anhang Maschinen &amp; Arbeiten'!$D$7:$L$256,8,FALSE)+VLOOKUP(S15,'Anhang Maschinen &amp; Arbeiten'!$D$7:$L$256,6,FALSE))*X15))))</f>
        <v>20.899000000000001</v>
      </c>
      <c r="AA15" s="85" t="str">
        <f>IF(G15="location",VLOOKUP(Annahmen!A15,'Anhang Maschinen &amp; Arbeiten'!$D$7:$L$256,IF(VLOOKUP($E$13,Q!$A$6:$B$7,2,FALSE)=2,4,5),FALSE)*F15,"")</f>
        <v/>
      </c>
      <c r="AB15" s="85" t="str">
        <f>IF(P15="location",VLOOKUP(Annahmen!J15,'Anhang Maschinen &amp; Arbeiten'!$D$7:$L$256,IF(VLOOKUP($N$13,Q!$A$6:$B$7,2,FALSE)=2,4,5),FALSE)*O15,"")</f>
        <v/>
      </c>
      <c r="AC15" s="85" t="str">
        <f>IF(Y15="location",VLOOKUP(Annahmen!S15,'Anhang Maschinen &amp; Arbeiten'!$D$7:$L$256,IF(VLOOKUP($W$13,Q!$A$6:$B$7,2,FALSE)=2,4,5),FALSE)*X15,"")</f>
        <v/>
      </c>
    </row>
    <row r="16" spans="1:29" x14ac:dyDescent="0.35">
      <c r="A16" s="431" t="s">
        <v>218</v>
      </c>
      <c r="B16" s="431"/>
      <c r="C16" s="432" t="s">
        <v>210</v>
      </c>
      <c r="D16" s="432"/>
      <c r="E16" s="272" t="str">
        <f>IF(ISBLANK(A16),"",VLOOKUP(A16,'Anhang Maschinen &amp; Arbeiten'!$D$7:$E$255,2,0))</f>
        <v>ha</v>
      </c>
      <c r="F16" s="273">
        <v>3</v>
      </c>
      <c r="G16" s="274" t="s">
        <v>214</v>
      </c>
      <c r="H16" s="275">
        <f>IF(ISBLANK(A16),"",IF(VLOOKUP(C16,Q!$A$6:$B$7,2,FALSE)=2,IF(G16="Eigentum",(VLOOKUP(Annahmen!A16,'Anhang Maschinen &amp; Arbeiten'!$D$7:$L$256,5,FALSE)+VLOOKUP(Annahmen!A16,'Anhang Maschinen &amp; Arbeiten'!$D$7:$L$256,7,FALSE))*F16,IF(G16="Lohnunt.",(VLOOKUP(Annahmen!A16,'Anhang Maschinen &amp; Arbeiten'!$D$7:$L$256,9,FALSE))*F16,(VLOOKUP(Annahmen!A16,'Anhang Maschinen &amp; Arbeiten'!$D$7:$L$256,8,FALSE)+VLOOKUP(A16,'Anhang Maschinen &amp; Arbeiten'!$D$7:$L$256,5,FALSE))*F16)),IF(G16="Eigentum",(VLOOKUP(Annahmen!A16,'Anhang Maschinen &amp; Arbeiten'!$D$7:$L$256,6,FALSE)+VLOOKUP(Annahmen!A16,'Anhang Maschinen &amp; Arbeiten'!$D$7:$L$256,7,FALSE))*F16,IF(G16="Lohnunt.",(VLOOKUP(Annahmen!A16,'Anhang Maschinen &amp; Arbeiten'!$D$7:$L$256,9,FALSE))*F16,(VLOOKUP(Annahmen!A16,'Anhang Maschinen &amp; Arbeiten'!$D$7:$L$256,8,FALSE)+VLOOKUP(A16,'Anhang Maschinen &amp; Arbeiten'!$D$7:$L$256,6,FALSE))*F16))))</f>
        <v>162.09</v>
      </c>
      <c r="I16" s="269"/>
      <c r="J16" s="431" t="s">
        <v>219</v>
      </c>
      <c r="K16" s="431"/>
      <c r="L16" s="432" t="s">
        <v>210</v>
      </c>
      <c r="M16" s="432"/>
      <c r="N16" s="272" t="str">
        <f>IF(ISBLANK(J16),"",VLOOKUP(J16,'Anhang Maschinen &amp; Arbeiten'!$D$7:$E$255,2,0))</f>
        <v>ha</v>
      </c>
      <c r="O16" s="276">
        <v>2</v>
      </c>
      <c r="P16" s="274" t="s">
        <v>214</v>
      </c>
      <c r="Q16" s="275">
        <f>IF(ISBLANK(J16),"",IF(VLOOKUP(L16,Q!$A$6:$B$7,2,FALSE)=2,IF(P16="Eigentum",(VLOOKUP(Annahmen!J16,'Anhang Maschinen &amp; Arbeiten'!$D$7:$L$256,5,FALSE)+VLOOKUP(Annahmen!J16,'Anhang Maschinen &amp; Arbeiten'!$D$7:$L$256,7,FALSE))*O16,IF(P16="Lohnunt.",(VLOOKUP(Annahmen!J16,'Anhang Maschinen &amp; Arbeiten'!$D$7:$L$256,9,FALSE))*O16,(VLOOKUP(Annahmen!J16,'Anhang Maschinen &amp; Arbeiten'!$D$7:$L$256,8,FALSE)+VLOOKUP(J16,'Anhang Maschinen &amp; Arbeiten'!$D$7:$L$256,5,FALSE))*O16)),IF(P16="Eigentum",(VLOOKUP(Annahmen!J16,'Anhang Maschinen &amp; Arbeiten'!$D$7:$L$256,6,FALSE)+VLOOKUP(Annahmen!J16,'Anhang Maschinen &amp; Arbeiten'!$D$7:$L$256,7,FALSE))*O16,IF(P16="Lohnunt.",(VLOOKUP(Annahmen!J16,'Anhang Maschinen &amp; Arbeiten'!$D$7:$L$256,9,FALSE))*O16,(VLOOKUP(Annahmen!J16,'Anhang Maschinen &amp; Arbeiten'!$D$7:$L$256,8,FALSE)+VLOOKUP(J16,'Anhang Maschinen &amp; Arbeiten'!$D$7:$L$256,6,FALSE))*O16))))</f>
        <v>91.56</v>
      </c>
      <c r="R16" s="269"/>
      <c r="S16" s="431"/>
      <c r="T16" s="431"/>
      <c r="U16" s="432"/>
      <c r="V16" s="432"/>
      <c r="W16" s="272" t="str">
        <f>IF(ISBLANK(S16),"",VLOOKUP(S16,'Anhang Maschinen &amp; Arbeiten'!$D$7:$E$255,2,0))</f>
        <v/>
      </c>
      <c r="X16" s="276"/>
      <c r="Y16" s="274" t="s">
        <v>83</v>
      </c>
      <c r="Z16" s="275" t="str">
        <f>IF(ISBLANK(S16),"",IF(VLOOKUP(U16,Q!$A$6:$B$7,2,FALSE)=2,IF(Y16="Eigentum",(VLOOKUP(Annahmen!S16,'Anhang Maschinen &amp; Arbeiten'!$D$7:$L$256,5,FALSE)+VLOOKUP(Annahmen!S16,'Anhang Maschinen &amp; Arbeiten'!$D$7:$L$256,7,FALSE))*X16,IF(Y16="Lohnunt.",(VLOOKUP(Annahmen!S16,'Anhang Maschinen &amp; Arbeiten'!$D$7:$L$256,9,FALSE))*X16,(VLOOKUP(Annahmen!S16,'Anhang Maschinen &amp; Arbeiten'!$D$7:$L$256,8,FALSE)+VLOOKUP(S16,'Anhang Maschinen &amp; Arbeiten'!$D$7:$L$256,5,FALSE))*X16)),IF(Y16="Eigentum",(VLOOKUP(Annahmen!S16,'Anhang Maschinen &amp; Arbeiten'!$D$7:$L$256,6,FALSE)+VLOOKUP(Annahmen!S16,'Anhang Maschinen &amp; Arbeiten'!$D$7:$L$256,7,FALSE))*X16,IF(Y16="Lohnunt.",(VLOOKUP(Annahmen!S16,'Anhang Maschinen &amp; Arbeiten'!$D$7:$L$256,9,FALSE))*X16,(VLOOKUP(Annahmen!S16,'Anhang Maschinen &amp; Arbeiten'!$D$7:$L$256,8,FALSE)+VLOOKUP(S16,'Anhang Maschinen &amp; Arbeiten'!$D$7:$L$256,6,FALSE))*X16))))</f>
        <v/>
      </c>
      <c r="AA16" s="85" t="str">
        <f>IF(G16="location",VLOOKUP(Annahmen!A16,'Anhang Maschinen &amp; Arbeiten'!$D$7:$L$256,IF(VLOOKUP($E$13,Q!$A$6:$B$7,2,FALSE)=2,4,5),FALSE)*F16,"")</f>
        <v/>
      </c>
      <c r="AB16" s="85" t="str">
        <f>IF(P16="location",VLOOKUP(Annahmen!J16,'Anhang Maschinen &amp; Arbeiten'!$D$7:$L$256,IF(VLOOKUP($N$13,Q!$A$6:$B$7,2,FALSE)=2,4,5),FALSE)*O16,"")</f>
        <v/>
      </c>
      <c r="AC16" s="85" t="str">
        <f>IF(Y16="location",VLOOKUP(Annahmen!S16,'Anhang Maschinen &amp; Arbeiten'!$D$7:$L$256,IF(VLOOKUP($W$13,Q!$A$6:$B$7,2,FALSE)=2,4,5),FALSE)*X16,"")</f>
        <v/>
      </c>
    </row>
    <row r="17" spans="1:29" x14ac:dyDescent="0.35">
      <c r="A17" s="431"/>
      <c r="B17" s="431"/>
      <c r="C17" s="432"/>
      <c r="D17" s="432"/>
      <c r="E17" s="272" t="str">
        <f>IF(ISBLANK(A17),"",VLOOKUP(A17,'Anhang Maschinen &amp; Arbeiten'!$D$7:$E$255,2,0))</f>
        <v/>
      </c>
      <c r="F17" s="273"/>
      <c r="G17" s="274"/>
      <c r="H17" s="275" t="str">
        <f>IF(ISBLANK(A17),"",IF(VLOOKUP(C17,Q!$A$6:$B$7,2,FALSE)=2,IF(G17="Eigentum",(VLOOKUP(Annahmen!A17,'Anhang Maschinen &amp; Arbeiten'!$D$7:$L$256,5,FALSE)+VLOOKUP(Annahmen!A17,'Anhang Maschinen &amp; Arbeiten'!$D$7:$L$256,7,FALSE))*F17,IF(G17="Lohnunt.",(VLOOKUP(Annahmen!A17,'Anhang Maschinen &amp; Arbeiten'!$D$7:$L$256,9,FALSE))*F17,(VLOOKUP(Annahmen!A17,'Anhang Maschinen &amp; Arbeiten'!$D$7:$L$256,8,FALSE)+VLOOKUP(A17,'Anhang Maschinen &amp; Arbeiten'!$D$7:$L$256,5,FALSE))*F17)),IF(G17="Eigentum",(VLOOKUP(Annahmen!A17,'Anhang Maschinen &amp; Arbeiten'!$D$7:$L$256,6,FALSE)+VLOOKUP(Annahmen!A17,'Anhang Maschinen &amp; Arbeiten'!$D$7:$L$256,7,FALSE))*F17,IF(G17="Lohnunt.",(VLOOKUP(Annahmen!A17,'Anhang Maschinen &amp; Arbeiten'!$D$7:$L$256,9,FALSE))*F17,(VLOOKUP(Annahmen!A17,'Anhang Maschinen &amp; Arbeiten'!$D$7:$L$256,8,FALSE)+VLOOKUP(A17,'Anhang Maschinen &amp; Arbeiten'!$D$7:$L$256,6,FALSE))*F17))))</f>
        <v/>
      </c>
      <c r="I17" s="269"/>
      <c r="J17" s="431"/>
      <c r="K17" s="431"/>
      <c r="L17" s="432"/>
      <c r="M17" s="432"/>
      <c r="N17" s="272" t="str">
        <f>IF(ISBLANK(J17),"",VLOOKUP(J17,'Anhang Maschinen &amp; Arbeiten'!$D$7:$E$255,2,0))</f>
        <v/>
      </c>
      <c r="O17" s="276"/>
      <c r="P17" s="274"/>
      <c r="Q17" s="275" t="str">
        <f>IF(ISBLANK(J17),"",IF(VLOOKUP(L17,Q!$A$6:$B$7,2,FALSE)=2,IF(P17="Eigentum",(VLOOKUP(Annahmen!J17,'Anhang Maschinen &amp; Arbeiten'!$D$7:$L$256,5,FALSE)+VLOOKUP(Annahmen!J17,'Anhang Maschinen &amp; Arbeiten'!$D$7:$L$256,7,FALSE))*O17,IF(P17="Lohnunt.",(VLOOKUP(Annahmen!J17,'Anhang Maschinen &amp; Arbeiten'!$D$7:$L$256,9,FALSE))*O17,(VLOOKUP(Annahmen!J17,'Anhang Maschinen &amp; Arbeiten'!$D$7:$L$256,8,FALSE)+VLOOKUP(J17,'Anhang Maschinen &amp; Arbeiten'!$D$7:$L$256,5,FALSE))*O17)),IF(P17="Eigentum",(VLOOKUP(Annahmen!J17,'Anhang Maschinen &amp; Arbeiten'!$D$7:$L$256,6,FALSE)+VLOOKUP(Annahmen!J17,'Anhang Maschinen &amp; Arbeiten'!$D$7:$L$256,7,FALSE))*O17,IF(P17="Lohnunt.",(VLOOKUP(Annahmen!J17,'Anhang Maschinen &amp; Arbeiten'!$D$7:$L$256,9,FALSE))*O17,(VLOOKUP(Annahmen!J17,'Anhang Maschinen &amp; Arbeiten'!$D$7:$L$256,8,FALSE)+VLOOKUP(J17,'Anhang Maschinen &amp; Arbeiten'!$D$7:$L$256,6,FALSE))*O17))))</f>
        <v/>
      </c>
      <c r="R17" s="269"/>
      <c r="S17" s="431"/>
      <c r="T17" s="431"/>
      <c r="U17" s="432"/>
      <c r="V17" s="432"/>
      <c r="W17" s="272" t="str">
        <f>IF(ISBLANK(S17),"",VLOOKUP(S17,'Anhang Maschinen &amp; Arbeiten'!$D$7:$E$255,2,0))</f>
        <v/>
      </c>
      <c r="X17" s="276"/>
      <c r="Y17" s="274" t="s">
        <v>83</v>
      </c>
      <c r="Z17" s="275" t="str">
        <f>IF(ISBLANK(S17),"",IF(VLOOKUP(U17,Q!$A$6:$B$7,2,FALSE)=2,IF(Y17="Eigentum",(VLOOKUP(Annahmen!S17,'Anhang Maschinen &amp; Arbeiten'!$D$7:$L$256,5,FALSE)+VLOOKUP(Annahmen!S17,'Anhang Maschinen &amp; Arbeiten'!$D$7:$L$256,7,FALSE))*X17,IF(Y17="Lohnunt.",(VLOOKUP(Annahmen!S17,'Anhang Maschinen &amp; Arbeiten'!$D$7:$L$256,9,FALSE))*X17,(VLOOKUP(Annahmen!S17,'Anhang Maschinen &amp; Arbeiten'!$D$7:$L$256,8,FALSE)+VLOOKUP(S17,'Anhang Maschinen &amp; Arbeiten'!$D$7:$L$256,5,FALSE))*X17)),IF(Y17="Eigentum",(VLOOKUP(Annahmen!S17,'Anhang Maschinen &amp; Arbeiten'!$D$7:$L$256,6,FALSE)+VLOOKUP(Annahmen!S17,'Anhang Maschinen &amp; Arbeiten'!$D$7:$L$256,7,FALSE))*X17,IF(Y17="Lohnunt.",(VLOOKUP(Annahmen!S17,'Anhang Maschinen &amp; Arbeiten'!$D$7:$L$256,9,FALSE))*X17,(VLOOKUP(Annahmen!S17,'Anhang Maschinen &amp; Arbeiten'!$D$7:$L$256,8,FALSE)+VLOOKUP(S17,'Anhang Maschinen &amp; Arbeiten'!$D$7:$L$256,6,FALSE))*X17))))</f>
        <v/>
      </c>
      <c r="AA17" s="85" t="str">
        <f>IF(G17="location",VLOOKUP(Annahmen!A17,'Anhang Maschinen &amp; Arbeiten'!$D$7:$L$256,IF(VLOOKUP($E$13,Q!$A$6:$B$7,2,FALSE)=2,4,5),FALSE)*F17,"")</f>
        <v/>
      </c>
      <c r="AB17" s="85" t="str">
        <f>IF(P17="location",VLOOKUP(Annahmen!J17,'Anhang Maschinen &amp; Arbeiten'!$D$7:$L$256,IF(VLOOKUP($N$13,Q!$A$6:$B$7,2,FALSE)=2,4,5),FALSE)*O17,"")</f>
        <v/>
      </c>
      <c r="AC17" s="85" t="str">
        <f>IF(Y17="location",VLOOKUP(Annahmen!S17,'Anhang Maschinen &amp; Arbeiten'!$D$7:$L$256,IF(VLOOKUP($W$13,Q!$A$6:$B$7,2,FALSE)=2,4,5),FALSE)*X17,"")</f>
        <v/>
      </c>
    </row>
    <row r="18" spans="1:29" x14ac:dyDescent="0.35">
      <c r="A18" s="431"/>
      <c r="B18" s="431"/>
      <c r="C18" s="432"/>
      <c r="D18" s="432"/>
      <c r="E18" s="272" t="str">
        <f>IF(ISBLANK(A18),"",VLOOKUP(A18,'Anhang Maschinen &amp; Arbeiten'!$D$7:$E$255,2,0))</f>
        <v/>
      </c>
      <c r="F18" s="273"/>
      <c r="G18" s="274"/>
      <c r="H18" s="275" t="str">
        <f>IF(ISBLANK(A18),"",IF(VLOOKUP(C18,Q!$A$6:$B$7,2,FALSE)=2,IF(G18="Eigentum",(VLOOKUP(Annahmen!A18,'Anhang Maschinen &amp; Arbeiten'!$D$7:$L$256,5,FALSE)+VLOOKUP(Annahmen!A18,'Anhang Maschinen &amp; Arbeiten'!$D$7:$L$256,7,FALSE))*F18,IF(G18="Lohnunt.",(VLOOKUP(Annahmen!A18,'Anhang Maschinen &amp; Arbeiten'!$D$7:$L$256,9,FALSE))*F18,(VLOOKUP(Annahmen!A18,'Anhang Maschinen &amp; Arbeiten'!$D$7:$L$256,8,FALSE)+VLOOKUP(A18,'Anhang Maschinen &amp; Arbeiten'!$D$7:$L$256,5,FALSE))*F18)),IF(G18="Eigentum",(VLOOKUP(Annahmen!A18,'Anhang Maschinen &amp; Arbeiten'!$D$7:$L$256,6,FALSE)+VLOOKUP(Annahmen!A18,'Anhang Maschinen &amp; Arbeiten'!$D$7:$L$256,7,FALSE))*F18,IF(G18="Lohnunt.",(VLOOKUP(Annahmen!A18,'Anhang Maschinen &amp; Arbeiten'!$D$7:$L$256,9,FALSE))*F18,(VLOOKUP(Annahmen!A18,'Anhang Maschinen &amp; Arbeiten'!$D$7:$L$256,8,FALSE)+VLOOKUP(A18,'Anhang Maschinen &amp; Arbeiten'!$D$7:$L$256,6,FALSE))*F18))))</f>
        <v/>
      </c>
      <c r="I18" s="269"/>
      <c r="J18" s="431"/>
      <c r="K18" s="431"/>
      <c r="L18" s="432"/>
      <c r="M18" s="432"/>
      <c r="N18" s="272" t="str">
        <f>IF(ISBLANK(J18),"",VLOOKUP(J18,'Anhang Maschinen &amp; Arbeiten'!$D$7:$E$255,2,0))</f>
        <v/>
      </c>
      <c r="O18" s="276"/>
      <c r="P18" s="274" t="s">
        <v>83</v>
      </c>
      <c r="Q18" s="275" t="str">
        <f>IF(ISBLANK(J18),"",IF(VLOOKUP(L18,Q!$A$6:$B$7,2,FALSE)=2,IF(P18="Eigentum",(VLOOKUP(Annahmen!J18,'Anhang Maschinen &amp; Arbeiten'!$D$7:$L$256,5,FALSE)+VLOOKUP(Annahmen!J18,'Anhang Maschinen &amp; Arbeiten'!$D$7:$L$256,7,FALSE))*O18,IF(P18="Lohnunt.",(VLOOKUP(Annahmen!J18,'Anhang Maschinen &amp; Arbeiten'!$D$7:$L$256,9,FALSE))*O18,(VLOOKUP(Annahmen!J18,'Anhang Maschinen &amp; Arbeiten'!$D$7:$L$256,8,FALSE)+VLOOKUP(J18,'Anhang Maschinen &amp; Arbeiten'!$D$7:$L$256,5,FALSE))*O18)),IF(P18="Eigentum",(VLOOKUP(Annahmen!J18,'Anhang Maschinen &amp; Arbeiten'!$D$7:$L$256,6,FALSE)+VLOOKUP(Annahmen!J18,'Anhang Maschinen &amp; Arbeiten'!$D$7:$L$256,7,FALSE))*O18,IF(P18="Lohnunt.",(VLOOKUP(Annahmen!J18,'Anhang Maschinen &amp; Arbeiten'!$D$7:$L$256,9,FALSE))*O18,(VLOOKUP(Annahmen!J18,'Anhang Maschinen &amp; Arbeiten'!$D$7:$L$256,8,FALSE)+VLOOKUP(J18,'Anhang Maschinen &amp; Arbeiten'!$D$7:$L$256,6,FALSE))*O18))))</f>
        <v/>
      </c>
      <c r="R18" s="269"/>
      <c r="S18" s="431"/>
      <c r="T18" s="431"/>
      <c r="U18" s="432"/>
      <c r="V18" s="432"/>
      <c r="W18" s="272" t="str">
        <f>IF(ISBLANK(S18),"",VLOOKUP(S18,'Anhang Maschinen &amp; Arbeiten'!$D$7:$E$255,2,0))</f>
        <v/>
      </c>
      <c r="X18" s="276"/>
      <c r="Y18" s="274" t="s">
        <v>83</v>
      </c>
      <c r="Z18" s="275" t="str">
        <f>IF(ISBLANK(S18),"",IF(VLOOKUP(U18,Q!$A$6:$B$7,2,FALSE)=2,IF(Y18="Eigentum",(VLOOKUP(Annahmen!S18,'Anhang Maschinen &amp; Arbeiten'!$D$7:$L$256,5,FALSE)+VLOOKUP(Annahmen!S18,'Anhang Maschinen &amp; Arbeiten'!$D$7:$L$256,7,FALSE))*X18,IF(Y18="Lohnunt.",(VLOOKUP(Annahmen!S18,'Anhang Maschinen &amp; Arbeiten'!$D$7:$L$256,9,FALSE))*X18,(VLOOKUP(Annahmen!S18,'Anhang Maschinen &amp; Arbeiten'!$D$7:$L$256,8,FALSE)+VLOOKUP(S18,'Anhang Maschinen &amp; Arbeiten'!$D$7:$L$256,5,FALSE))*X18)),IF(Y18="Eigentum",(VLOOKUP(Annahmen!S18,'Anhang Maschinen &amp; Arbeiten'!$D$7:$L$256,6,FALSE)+VLOOKUP(Annahmen!S18,'Anhang Maschinen &amp; Arbeiten'!$D$7:$L$256,7,FALSE))*X18,IF(Y18="Lohnunt.",(VLOOKUP(Annahmen!S18,'Anhang Maschinen &amp; Arbeiten'!$D$7:$L$256,9,FALSE))*X18,(VLOOKUP(Annahmen!S18,'Anhang Maschinen &amp; Arbeiten'!$D$7:$L$256,8,FALSE)+VLOOKUP(S18,'Anhang Maschinen &amp; Arbeiten'!$D$7:$L$256,6,FALSE))*X18))))</f>
        <v/>
      </c>
      <c r="AA18" s="85" t="str">
        <f>IF(G18="location",VLOOKUP(Annahmen!A18,'Anhang Maschinen &amp; Arbeiten'!$D$7:$L$256,IF(VLOOKUP($E$13,Q!$A$6:$B$7,2,FALSE)=2,4,5),FALSE)*F18,"")</f>
        <v/>
      </c>
      <c r="AB18" s="85" t="str">
        <f>IF(P18="location",VLOOKUP(Annahmen!J18,'Anhang Maschinen &amp; Arbeiten'!$D$7:$L$256,IF(VLOOKUP($N$13,Q!$A$6:$B$7,2,FALSE)=2,4,5),FALSE)*O18,"")</f>
        <v/>
      </c>
      <c r="AC18" s="85" t="str">
        <f>IF(Y18="location",VLOOKUP(Annahmen!S18,'Anhang Maschinen &amp; Arbeiten'!$D$7:$L$256,IF(VLOOKUP($W$13,Q!$A$6:$B$7,2,FALSE)=2,4,5),FALSE)*X18,"")</f>
        <v/>
      </c>
    </row>
    <row r="19" spans="1:29" x14ac:dyDescent="0.35">
      <c r="A19" s="430"/>
      <c r="B19" s="430"/>
      <c r="C19" s="433"/>
      <c r="D19" s="433"/>
      <c r="E19" s="272" t="str">
        <f>IF(ISBLANK(A19),"",VLOOKUP(A19,'Anhang Maschinen &amp; Arbeiten'!$D$7:$E$255,2,0))</f>
        <v/>
      </c>
      <c r="F19" s="277"/>
      <c r="G19" s="274"/>
      <c r="H19" s="275" t="str">
        <f>IF(ISBLANK(A19),"",IF(VLOOKUP(C19,Q!$A$6:$B$7,2,FALSE)=2,IF(G19="Eigentum",(VLOOKUP(Annahmen!A19,'Anhang Maschinen &amp; Arbeiten'!$D$7:$L$256,5,FALSE)+VLOOKUP(Annahmen!A19,'Anhang Maschinen &amp; Arbeiten'!$D$7:$L$256,7,FALSE))*F19,IF(G19="Lohnunt.",(VLOOKUP(Annahmen!A19,'Anhang Maschinen &amp; Arbeiten'!$D$7:$L$256,9,FALSE))*F19,(VLOOKUP(Annahmen!A19,'Anhang Maschinen &amp; Arbeiten'!$D$7:$L$256,8,FALSE)+VLOOKUP(A19,'Anhang Maschinen &amp; Arbeiten'!$D$7:$L$256,5,FALSE))*F19)),IF(G19="Eigentum",(VLOOKUP(Annahmen!A19,'Anhang Maschinen &amp; Arbeiten'!$D$7:$L$256,6,FALSE)+VLOOKUP(Annahmen!A19,'Anhang Maschinen &amp; Arbeiten'!$D$7:$L$256,7,FALSE))*F19,IF(G19="Lohnunt.",(VLOOKUP(Annahmen!A19,'Anhang Maschinen &amp; Arbeiten'!$D$7:$L$256,9,FALSE))*F19,(VLOOKUP(Annahmen!A19,'Anhang Maschinen &amp; Arbeiten'!$D$7:$L$256,8,FALSE)+VLOOKUP(A19,'Anhang Maschinen &amp; Arbeiten'!$D$7:$L$256,6,FALSE))*F19))))</f>
        <v/>
      </c>
      <c r="I19" s="269"/>
      <c r="J19" s="430"/>
      <c r="K19" s="430"/>
      <c r="L19" s="433"/>
      <c r="M19" s="433"/>
      <c r="N19" s="272" t="str">
        <f>IF(ISBLANK(J19),"",VLOOKUP(J19,'Anhang Maschinen &amp; Arbeiten'!$D$7:$E$255,2,0))</f>
        <v/>
      </c>
      <c r="O19" s="278"/>
      <c r="P19" s="274" t="s">
        <v>83</v>
      </c>
      <c r="Q19" s="275" t="str">
        <f>IF(ISBLANK(J19),"",IF(VLOOKUP(L19,Q!$A$6:$B$7,2,FALSE)=2,IF(P19="Eigentum",(VLOOKUP(Annahmen!J19,'Anhang Maschinen &amp; Arbeiten'!$D$7:$L$256,5,FALSE)+VLOOKUP(Annahmen!J19,'Anhang Maschinen &amp; Arbeiten'!$D$7:$L$256,7,FALSE))*O19,IF(P19="Lohnunt.",(VLOOKUP(Annahmen!J19,'Anhang Maschinen &amp; Arbeiten'!$D$7:$L$256,9,FALSE))*O19,(VLOOKUP(Annahmen!J19,'Anhang Maschinen &amp; Arbeiten'!$D$7:$L$256,8,FALSE)+VLOOKUP(J19,'Anhang Maschinen &amp; Arbeiten'!$D$7:$L$256,5,FALSE))*O19)),IF(P19="Eigentum",(VLOOKUP(Annahmen!J19,'Anhang Maschinen &amp; Arbeiten'!$D$7:$L$256,6,FALSE)+VLOOKUP(Annahmen!J19,'Anhang Maschinen &amp; Arbeiten'!$D$7:$L$256,7,FALSE))*O19,IF(P19="Lohnunt.",(VLOOKUP(Annahmen!J19,'Anhang Maschinen &amp; Arbeiten'!$D$7:$L$256,9,FALSE))*O19,(VLOOKUP(Annahmen!J19,'Anhang Maschinen &amp; Arbeiten'!$D$7:$L$256,8,FALSE)+VLOOKUP(J19,'Anhang Maschinen &amp; Arbeiten'!$D$7:$L$256,6,FALSE))*O19))))</f>
        <v/>
      </c>
      <c r="R19" s="269"/>
      <c r="S19" s="430"/>
      <c r="T19" s="430"/>
      <c r="U19" s="433"/>
      <c r="V19" s="433"/>
      <c r="W19" s="272" t="str">
        <f>IF(ISBLANK(S19),"",VLOOKUP(S19,'Anhang Maschinen &amp; Arbeiten'!$D$7:$E$255,2,0))</f>
        <v/>
      </c>
      <c r="X19" s="278"/>
      <c r="Y19" s="274" t="s">
        <v>83</v>
      </c>
      <c r="Z19" s="275" t="str">
        <f>IF(ISBLANK(S19),"",IF(VLOOKUP(U19,Q!$A$6:$B$7,2,FALSE)=2,IF(Y19="Eigentum",(VLOOKUP(Annahmen!S19,'Anhang Maschinen &amp; Arbeiten'!$D$7:$L$256,5,FALSE)+VLOOKUP(Annahmen!S19,'Anhang Maschinen &amp; Arbeiten'!$D$7:$L$256,7,FALSE))*X19,IF(Y19="Lohnunt.",(VLOOKUP(Annahmen!S19,'Anhang Maschinen &amp; Arbeiten'!$D$7:$L$256,9,FALSE))*X19,(VLOOKUP(Annahmen!S19,'Anhang Maschinen &amp; Arbeiten'!$D$7:$L$256,8,FALSE)+VLOOKUP(S19,'Anhang Maschinen &amp; Arbeiten'!$D$7:$L$256,5,FALSE))*X19)),IF(Y19="Eigentum",(VLOOKUP(Annahmen!S19,'Anhang Maschinen &amp; Arbeiten'!$D$7:$L$256,6,FALSE)+VLOOKUP(Annahmen!S19,'Anhang Maschinen &amp; Arbeiten'!$D$7:$L$256,7,FALSE))*X19,IF(Y19="Lohnunt.",(VLOOKUP(Annahmen!S19,'Anhang Maschinen &amp; Arbeiten'!$D$7:$L$256,9,FALSE))*X19,(VLOOKUP(Annahmen!S19,'Anhang Maschinen &amp; Arbeiten'!$D$7:$L$256,8,FALSE)+VLOOKUP(S19,'Anhang Maschinen &amp; Arbeiten'!$D$7:$L$256,6,FALSE))*X19))))</f>
        <v/>
      </c>
      <c r="AA19" s="85" t="str">
        <f>IF(G19="location",VLOOKUP(Annahmen!A19,'Anhang Maschinen &amp; Arbeiten'!$D$7:$L$256,IF(VLOOKUP($E$13,Q!$A$6:$B$7,2,FALSE)=2,4,5),FALSE)*F19,"")</f>
        <v/>
      </c>
      <c r="AB19" s="85" t="str">
        <f>IF(P19="location",VLOOKUP(Annahmen!J19,'Anhang Maschinen &amp; Arbeiten'!$D$7:$L$256,IF(VLOOKUP($N$13,Q!$A$6:$B$7,2,FALSE)=2,4,5),FALSE)*O19,"")</f>
        <v/>
      </c>
      <c r="AC19" s="85" t="str">
        <f>IF(Y19="location",VLOOKUP(Annahmen!S19,'Anhang Maschinen &amp; Arbeiten'!$D$7:$L$256,IF(VLOOKUP($W$13,Q!$A$6:$B$7,2,FALSE)=2,4,5),FALSE)*X19,"")</f>
        <v/>
      </c>
    </row>
    <row r="20" spans="1:29" ht="3.75" customHeight="1" x14ac:dyDescent="0.35">
      <c r="A20" s="254"/>
      <c r="B20" s="254"/>
      <c r="C20" s="254"/>
      <c r="D20" s="254"/>
      <c r="E20" s="254"/>
      <c r="F20" s="254"/>
      <c r="G20" s="254"/>
      <c r="H20" s="255"/>
      <c r="I20" s="256"/>
      <c r="J20" s="254"/>
      <c r="K20" s="254"/>
      <c r="L20" s="254"/>
      <c r="M20" s="254"/>
      <c r="N20" s="254"/>
      <c r="O20" s="254"/>
      <c r="P20" s="254"/>
      <c r="Q20" s="255"/>
      <c r="R20" s="256"/>
      <c r="S20" s="254"/>
      <c r="T20" s="254"/>
      <c r="U20" s="254"/>
      <c r="V20" s="254"/>
      <c r="W20" s="254"/>
      <c r="X20" s="254"/>
      <c r="Y20" s="254"/>
      <c r="Z20" s="255"/>
    </row>
    <row r="21" spans="1:29" x14ac:dyDescent="0.35">
      <c r="A21" s="252" t="s">
        <v>162</v>
      </c>
      <c r="B21" s="252"/>
      <c r="C21" s="252"/>
      <c r="D21" s="252"/>
      <c r="E21" s="252"/>
      <c r="F21" s="252"/>
      <c r="G21" s="252"/>
      <c r="H21" s="279"/>
      <c r="I21" s="269"/>
      <c r="J21" s="252" t="s">
        <v>162</v>
      </c>
      <c r="K21" s="252"/>
      <c r="L21" s="252"/>
      <c r="M21" s="252"/>
      <c r="N21" s="252"/>
      <c r="O21" s="252"/>
      <c r="P21" s="252"/>
      <c r="Q21" s="279"/>
      <c r="R21" s="269"/>
      <c r="S21" s="252" t="s">
        <v>162</v>
      </c>
      <c r="T21" s="252"/>
      <c r="U21" s="252"/>
      <c r="V21" s="252"/>
      <c r="W21" s="252"/>
      <c r="X21" s="252"/>
      <c r="Y21" s="252"/>
      <c r="Z21" s="279"/>
      <c r="AA21" s="85"/>
      <c r="AB21" s="85"/>
      <c r="AC21" s="85"/>
    </row>
    <row r="22" spans="1:29" ht="4" customHeight="1" x14ac:dyDescent="0.35">
      <c r="A22" s="254"/>
      <c r="B22" s="254"/>
      <c r="C22" s="254"/>
      <c r="D22" s="254"/>
      <c r="E22" s="250"/>
      <c r="F22" s="250"/>
      <c r="G22" s="251"/>
      <c r="H22" s="275"/>
      <c r="I22" s="269"/>
      <c r="J22" s="271"/>
      <c r="K22" s="254"/>
      <c r="L22" s="254"/>
      <c r="M22" s="254"/>
      <c r="N22" s="250"/>
      <c r="O22" s="250"/>
      <c r="P22" s="251"/>
      <c r="Q22" s="275"/>
      <c r="R22" s="269"/>
      <c r="S22" s="271"/>
      <c r="T22" s="254"/>
      <c r="U22" s="254"/>
      <c r="V22" s="254"/>
      <c r="W22" s="250"/>
      <c r="X22" s="250"/>
      <c r="Y22" s="251"/>
      <c r="Z22" s="275"/>
      <c r="AA22" s="83"/>
      <c r="AB22" s="84"/>
      <c r="AC22" s="84"/>
    </row>
    <row r="23" spans="1:29" x14ac:dyDescent="0.35">
      <c r="A23" s="431" t="s">
        <v>295</v>
      </c>
      <c r="B23" s="431"/>
      <c r="C23" s="432" t="s">
        <v>210</v>
      </c>
      <c r="D23" s="432"/>
      <c r="E23" s="272" t="str">
        <f>IF(ISBLANK(A23),"",VLOOKUP(A23,'Anhang Maschinen &amp; Arbeiten'!$D$7:$E$255,2,0))</f>
        <v>ha</v>
      </c>
      <c r="F23" s="273">
        <v>1</v>
      </c>
      <c r="G23" s="274" t="s">
        <v>216</v>
      </c>
      <c r="H23" s="275">
        <f>IF(ISBLANK(A23),"",IF(VLOOKUP(C23,Q!$A$6:$B$7,2,FALSE)=2,IF(G23="Eigentum",(VLOOKUP(Annahmen!A23,'Anhang Maschinen &amp; Arbeiten'!$D$7:$L$256,5,FALSE)+VLOOKUP(Annahmen!A23,'Anhang Maschinen &amp; Arbeiten'!$D$7:$L$256,7,FALSE))*F23,IF(G23="Lohnunt.",(VLOOKUP(Annahmen!A23,'Anhang Maschinen &amp; Arbeiten'!$D$7:$L$256,9,FALSE))*F23,(VLOOKUP(Annahmen!A23,'Anhang Maschinen &amp; Arbeiten'!$D$7:$L$256,8,FALSE)+VLOOKUP(A23,'Anhang Maschinen &amp; Arbeiten'!$D$7:$L$256,5,FALSE))*F23)),IF(G23="Eigentum",(VLOOKUP(Annahmen!A23,'Anhang Maschinen &amp; Arbeiten'!$D$7:$L$256,6,FALSE)+VLOOKUP(Annahmen!A23,'Anhang Maschinen &amp; Arbeiten'!$D$7:$L$256,7,FALSE))*F23,IF(G23="Lohnunt.",(VLOOKUP(Annahmen!A23,'Anhang Maschinen &amp; Arbeiten'!$D$7:$L$256,9,FALSE))*F23,(VLOOKUP(Annahmen!A23,'Anhang Maschinen &amp; Arbeiten'!$D$7:$L$256,8,FALSE)+VLOOKUP(A23,'Anhang Maschinen &amp; Arbeiten'!$D$7:$L$256,6,FALSE))*F23))))</f>
        <v>440</v>
      </c>
      <c r="I23" s="269"/>
      <c r="J23" s="431" t="s">
        <v>295</v>
      </c>
      <c r="K23" s="431"/>
      <c r="L23" s="432" t="s">
        <v>210</v>
      </c>
      <c r="M23" s="432"/>
      <c r="N23" s="272" t="str">
        <f>IF(ISBLANK(J23),"",VLOOKUP(J23,'Anhang Maschinen &amp; Arbeiten'!$D$7:$E$255,2,0))</f>
        <v>ha</v>
      </c>
      <c r="O23" s="276">
        <v>1</v>
      </c>
      <c r="P23" s="274" t="s">
        <v>216</v>
      </c>
      <c r="Q23" s="275">
        <f>IF(ISBLANK(J23),"",IF(VLOOKUP(L23,Q!$A$6:$B$7,2,FALSE)=2,IF(P23="Eigentum",(VLOOKUP(Annahmen!J23,'Anhang Maschinen &amp; Arbeiten'!$D$7:$L$256,5,FALSE)+VLOOKUP(Annahmen!J23,'Anhang Maschinen &amp; Arbeiten'!$D$7:$L$256,7,FALSE))*O23,IF(P23="Lohnunt.",(VLOOKUP(Annahmen!J23,'Anhang Maschinen &amp; Arbeiten'!$D$7:$L$256,9,FALSE))*O23,(VLOOKUP(Annahmen!J23,'Anhang Maschinen &amp; Arbeiten'!$D$7:$L$256,8,FALSE)+VLOOKUP(J23,'Anhang Maschinen &amp; Arbeiten'!$D$7:$L$256,5,FALSE))*O23)),IF(P23="Eigentum",(VLOOKUP(Annahmen!J23,'Anhang Maschinen &amp; Arbeiten'!$D$7:$L$256,6,FALSE)+VLOOKUP(Annahmen!J23,'Anhang Maschinen &amp; Arbeiten'!$D$7:$L$256,7,FALSE))*O23,IF(P23="Lohnunt.",(VLOOKUP(Annahmen!J23,'Anhang Maschinen &amp; Arbeiten'!$D$7:$L$256,9,FALSE))*O23,(VLOOKUP(Annahmen!J23,'Anhang Maschinen &amp; Arbeiten'!$D$7:$L$256,8,FALSE)+VLOOKUP(J23,'Anhang Maschinen &amp; Arbeiten'!$D$7:$L$256,6,FALSE))*O23))))</f>
        <v>440</v>
      </c>
      <c r="R23" s="269"/>
      <c r="S23" s="431" t="s">
        <v>295</v>
      </c>
      <c r="T23" s="431"/>
      <c r="U23" s="432" t="s">
        <v>210</v>
      </c>
      <c r="V23" s="432"/>
      <c r="W23" s="272" t="str">
        <f>IF(ISBLANK(S23),"",VLOOKUP(S23,'Anhang Maschinen &amp; Arbeiten'!$D$7:$E$255,2,0))</f>
        <v>ha</v>
      </c>
      <c r="X23" s="276">
        <v>1</v>
      </c>
      <c r="Y23" s="274" t="s">
        <v>216</v>
      </c>
      <c r="Z23" s="275">
        <f>IF(ISBLANK(S23),"",IF(VLOOKUP(U23,Q!$A$6:$B$7,2,FALSE)=2,IF(Y23="Eigentum",(VLOOKUP(Annahmen!S23,'Anhang Maschinen &amp; Arbeiten'!$D$7:$L$256,5,FALSE)+VLOOKUP(Annahmen!S23,'Anhang Maschinen &amp; Arbeiten'!$D$7:$L$256,7,FALSE))*X23,IF(Y23="Lohnunt.",(VLOOKUP(Annahmen!S23,'Anhang Maschinen &amp; Arbeiten'!$D$7:$L$256,9,FALSE))*X23,(VLOOKUP(Annahmen!S23,'Anhang Maschinen &amp; Arbeiten'!$D$7:$L$256,8,FALSE)+VLOOKUP(S23,'Anhang Maschinen &amp; Arbeiten'!$D$7:$L$256,5,FALSE))*X23)),IF(Y23="Eigentum",(VLOOKUP(Annahmen!S23,'Anhang Maschinen &amp; Arbeiten'!$D$7:$L$256,6,FALSE)+VLOOKUP(Annahmen!S23,'Anhang Maschinen &amp; Arbeiten'!$D$7:$L$256,7,FALSE))*X23,IF(Y23="Lohnunt.",(VLOOKUP(Annahmen!S23,'Anhang Maschinen &amp; Arbeiten'!$D$7:$L$256,9,FALSE))*X23,(VLOOKUP(Annahmen!S23,'Anhang Maschinen &amp; Arbeiten'!$D$7:$L$256,8,FALSE)+VLOOKUP(S23,'Anhang Maschinen &amp; Arbeiten'!$D$7:$L$256,6,FALSE))*X23))))</f>
        <v>440</v>
      </c>
      <c r="AA23" s="85" t="str">
        <f>IF(G23="location",VLOOKUP(Annahmen!A23,'Anhang Maschinen &amp; Arbeiten'!$D$7:$L$256,4,FALSE)*F23,"")</f>
        <v/>
      </c>
      <c r="AB23" s="85" t="str">
        <f>IF(P23="location",VLOOKUP(Annahmen!J23,'Anhang Maschinen &amp; Arbeiten'!$D$7:$L$256,4,FALSE)*O23,"")</f>
        <v/>
      </c>
      <c r="AC23" s="85" t="str">
        <f>IF(Y23="location",VLOOKUP(Annahmen!S23,'Anhang Maschinen &amp; Arbeiten'!$D$7:$L$256,4,FALSE)*X23,"")</f>
        <v/>
      </c>
    </row>
    <row r="24" spans="1:29" x14ac:dyDescent="0.35">
      <c r="A24" s="431" t="s">
        <v>283</v>
      </c>
      <c r="B24" s="431"/>
      <c r="C24" s="432" t="s">
        <v>210</v>
      </c>
      <c r="D24" s="432"/>
      <c r="E24" s="272" t="str">
        <f>IF(ISBLANK(A24),"",VLOOKUP(A24,'Anhang Maschinen &amp; Arbeiten'!$D$7:$E$255,2,0))</f>
        <v>Fu</v>
      </c>
      <c r="F24" s="273">
        <v>1</v>
      </c>
      <c r="G24" s="274" t="s">
        <v>214</v>
      </c>
      <c r="H24" s="275">
        <f>IF(ISBLANK(A24),"",IF(VLOOKUP(C24,Q!$A$6:$B$7,2,FALSE)=2,IF(G24="Eigentum",(VLOOKUP(Annahmen!A24,'Anhang Maschinen &amp; Arbeiten'!$D$7:$L$256,5,FALSE)+VLOOKUP(Annahmen!A24,'Anhang Maschinen &amp; Arbeiten'!$D$7:$L$256,7,FALSE))*F24,IF(G24="Lohnunt.",(VLOOKUP(Annahmen!A24,'Anhang Maschinen &amp; Arbeiten'!$D$7:$L$256,9,FALSE))*F24,(VLOOKUP(Annahmen!A24,'Anhang Maschinen &amp; Arbeiten'!$D$7:$L$256,8,FALSE)+VLOOKUP(A24,'Anhang Maschinen &amp; Arbeiten'!$D$7:$L$256,5,FALSE))*F24)),IF(G24="Eigentum",(VLOOKUP(Annahmen!A24,'Anhang Maschinen &amp; Arbeiten'!$D$7:$L$256,6,FALSE)+VLOOKUP(Annahmen!A24,'Anhang Maschinen &amp; Arbeiten'!$D$7:$L$256,7,FALSE))*F24,IF(G24="Lohnunt.",(VLOOKUP(Annahmen!A24,'Anhang Maschinen &amp; Arbeiten'!$D$7:$L$256,9,FALSE))*F24,(VLOOKUP(Annahmen!A24,'Anhang Maschinen &amp; Arbeiten'!$D$7:$L$256,8,FALSE)+VLOOKUP(A24,'Anhang Maschinen &amp; Arbeiten'!$D$7:$L$256,6,FALSE))*F24))))</f>
        <v>24.47</v>
      </c>
      <c r="I24" s="269"/>
      <c r="J24" s="431" t="s">
        <v>283</v>
      </c>
      <c r="K24" s="431"/>
      <c r="L24" s="432" t="s">
        <v>210</v>
      </c>
      <c r="M24" s="432"/>
      <c r="N24" s="272" t="str">
        <f>IF(ISBLANK(J24),"",VLOOKUP(J24,'Anhang Maschinen &amp; Arbeiten'!$D$7:$E$255,2,0))</f>
        <v>Fu</v>
      </c>
      <c r="O24" s="276">
        <v>1</v>
      </c>
      <c r="P24" s="274" t="s">
        <v>214</v>
      </c>
      <c r="Q24" s="275">
        <f>IF(ISBLANK(J24),"",IF(VLOOKUP(L24,Q!$A$6:$B$7,2,FALSE)=2,IF(P24="Eigentum",(VLOOKUP(Annahmen!J24,'Anhang Maschinen &amp; Arbeiten'!$D$7:$L$256,5,FALSE)+VLOOKUP(Annahmen!J24,'Anhang Maschinen &amp; Arbeiten'!$D$7:$L$256,7,FALSE))*O24,IF(P24="Lohnunt.",(VLOOKUP(Annahmen!J24,'Anhang Maschinen &amp; Arbeiten'!$D$7:$L$256,9,FALSE))*O24,(VLOOKUP(Annahmen!J24,'Anhang Maschinen &amp; Arbeiten'!$D$7:$L$256,8,FALSE)+VLOOKUP(J24,'Anhang Maschinen &amp; Arbeiten'!$D$7:$L$256,5,FALSE))*O24)),IF(P24="Eigentum",(VLOOKUP(Annahmen!J24,'Anhang Maschinen &amp; Arbeiten'!$D$7:$L$256,6,FALSE)+VLOOKUP(Annahmen!J24,'Anhang Maschinen &amp; Arbeiten'!$D$7:$L$256,7,FALSE))*O24,IF(P24="Lohnunt.",(VLOOKUP(Annahmen!J24,'Anhang Maschinen &amp; Arbeiten'!$D$7:$L$256,9,FALSE))*O24,(VLOOKUP(Annahmen!J24,'Anhang Maschinen &amp; Arbeiten'!$D$7:$L$256,8,FALSE)+VLOOKUP(J24,'Anhang Maschinen &amp; Arbeiten'!$D$7:$L$256,6,FALSE))*O24))))</f>
        <v>24.47</v>
      </c>
      <c r="R24" s="269"/>
      <c r="S24" s="431" t="s">
        <v>283</v>
      </c>
      <c r="T24" s="431"/>
      <c r="U24" s="432" t="s">
        <v>210</v>
      </c>
      <c r="V24" s="432"/>
      <c r="W24" s="272" t="str">
        <f>IF(ISBLANK(S24),"",VLOOKUP(S24,'Anhang Maschinen &amp; Arbeiten'!$D$7:$E$255,2,0))</f>
        <v>Fu</v>
      </c>
      <c r="X24" s="276">
        <v>1</v>
      </c>
      <c r="Y24" s="274" t="s">
        <v>214</v>
      </c>
      <c r="Z24" s="275">
        <f>IF(ISBLANK(S24),"",IF(VLOOKUP(U24,Q!$A$6:$B$7,2,FALSE)=2,IF(Y24="Eigentum",(VLOOKUP(Annahmen!S24,'Anhang Maschinen &amp; Arbeiten'!$D$7:$L$256,5,FALSE)+VLOOKUP(Annahmen!S24,'Anhang Maschinen &amp; Arbeiten'!$D$7:$L$256,7,FALSE))*X24,IF(Y24="Lohnunt.",(VLOOKUP(Annahmen!S24,'Anhang Maschinen &amp; Arbeiten'!$D$7:$L$256,9,FALSE))*X24,(VLOOKUP(Annahmen!S24,'Anhang Maschinen &amp; Arbeiten'!$D$7:$L$256,8,FALSE)+VLOOKUP(S24,'Anhang Maschinen &amp; Arbeiten'!$D$7:$L$256,5,FALSE))*X24)),IF(Y24="Eigentum",(VLOOKUP(Annahmen!S24,'Anhang Maschinen &amp; Arbeiten'!$D$7:$L$256,6,FALSE)+VLOOKUP(Annahmen!S24,'Anhang Maschinen &amp; Arbeiten'!$D$7:$L$256,7,FALSE))*X24,IF(Y24="Lohnunt.",(VLOOKUP(Annahmen!S24,'Anhang Maschinen &amp; Arbeiten'!$D$7:$L$256,9,FALSE))*X24,(VLOOKUP(Annahmen!S24,'Anhang Maschinen &amp; Arbeiten'!$D$7:$L$256,8,FALSE)+VLOOKUP(S24,'Anhang Maschinen &amp; Arbeiten'!$D$7:$L$256,6,FALSE))*X24))))</f>
        <v>24.47</v>
      </c>
      <c r="AA24" s="85" t="str">
        <f>IF(G24="location",VLOOKUP(Annahmen!A24,'Anhang Maschinen &amp; Arbeiten'!$D$7:$L$256,4,FALSE)*F24,"")</f>
        <v/>
      </c>
      <c r="AB24" s="85" t="str">
        <f>IF(P24="location",VLOOKUP(Annahmen!J24,'Anhang Maschinen &amp; Arbeiten'!$D$7:$L$256,4,FALSE)*O24,"")</f>
        <v/>
      </c>
      <c r="AC24" s="85" t="str">
        <f>IF(Y24="location",VLOOKUP(Annahmen!S24,'Anhang Maschinen &amp; Arbeiten'!$D$7:$L$256,4,FALSE)*X24,"")</f>
        <v/>
      </c>
    </row>
    <row r="25" spans="1:29" x14ac:dyDescent="0.35">
      <c r="A25" s="431"/>
      <c r="B25" s="431"/>
      <c r="C25" s="432"/>
      <c r="D25" s="432"/>
      <c r="E25" s="272" t="str">
        <f>IF(ISBLANK(A25),"",VLOOKUP(A25,'Anhang Maschinen &amp; Arbeiten'!$D$7:$E$255,2,0))</f>
        <v/>
      </c>
      <c r="F25" s="273"/>
      <c r="G25" s="274" t="s">
        <v>83</v>
      </c>
      <c r="H25" s="275" t="str">
        <f>IF(ISBLANK(A25),"",IF(VLOOKUP(C25,Q!$A$6:$B$7,2,FALSE)=2,IF(G25="Eigentum",(VLOOKUP(Annahmen!A25,'Anhang Maschinen &amp; Arbeiten'!$D$7:$L$256,5,FALSE)+VLOOKUP(Annahmen!A25,'Anhang Maschinen &amp; Arbeiten'!$D$7:$L$256,7,FALSE))*F25,IF(G25="Lohnunt.",(VLOOKUP(Annahmen!A25,'Anhang Maschinen &amp; Arbeiten'!$D$7:$L$256,9,FALSE))*F25,(VLOOKUP(Annahmen!A25,'Anhang Maschinen &amp; Arbeiten'!$D$7:$L$256,8,FALSE)+VLOOKUP(A25,'Anhang Maschinen &amp; Arbeiten'!$D$7:$L$256,5,FALSE))*F25)),IF(G25="Eigentum",(VLOOKUP(Annahmen!A25,'Anhang Maschinen &amp; Arbeiten'!$D$7:$L$256,6,FALSE)+VLOOKUP(Annahmen!A25,'Anhang Maschinen &amp; Arbeiten'!$D$7:$L$256,7,FALSE))*F25,IF(G25="Lohnunt.",(VLOOKUP(Annahmen!A25,'Anhang Maschinen &amp; Arbeiten'!$D$7:$L$256,9,FALSE))*F25,(VLOOKUP(Annahmen!A25,'Anhang Maschinen &amp; Arbeiten'!$D$7:$L$256,8,FALSE)+VLOOKUP(A25,'Anhang Maschinen &amp; Arbeiten'!$D$7:$L$256,6,FALSE))*F25))))</f>
        <v/>
      </c>
      <c r="I25" s="269"/>
      <c r="J25" s="431"/>
      <c r="K25" s="431"/>
      <c r="L25" s="432"/>
      <c r="M25" s="432"/>
      <c r="N25" s="272" t="str">
        <f>IF(ISBLANK(J25),"",VLOOKUP(J25,'Anhang Maschinen &amp; Arbeiten'!$D$7:$E$255,2,0))</f>
        <v/>
      </c>
      <c r="O25" s="276"/>
      <c r="P25" s="274" t="s">
        <v>83</v>
      </c>
      <c r="Q25" s="275" t="str">
        <f>IF(ISBLANK(J25),"",IF(VLOOKUP(L25,Q!$A$6:$B$7,2,FALSE)=2,IF(P25="Eigentum",(VLOOKUP(Annahmen!J25,'Anhang Maschinen &amp; Arbeiten'!$D$7:$L$256,5,FALSE)+VLOOKUP(Annahmen!J25,'Anhang Maschinen &amp; Arbeiten'!$D$7:$L$256,7,FALSE))*O25,IF(P25="Lohnunt.",(VLOOKUP(Annahmen!J25,'Anhang Maschinen &amp; Arbeiten'!$D$7:$L$256,9,FALSE))*O25,(VLOOKUP(Annahmen!J25,'Anhang Maschinen &amp; Arbeiten'!$D$7:$L$256,8,FALSE)+VLOOKUP(J25,'Anhang Maschinen &amp; Arbeiten'!$D$7:$L$256,5,FALSE))*O25)),IF(P25="Eigentum",(VLOOKUP(Annahmen!J25,'Anhang Maschinen &amp; Arbeiten'!$D$7:$L$256,6,FALSE)+VLOOKUP(Annahmen!J25,'Anhang Maschinen &amp; Arbeiten'!$D$7:$L$256,7,FALSE))*O25,IF(P25="Lohnunt.",(VLOOKUP(Annahmen!J25,'Anhang Maschinen &amp; Arbeiten'!$D$7:$L$256,9,FALSE))*O25,(VLOOKUP(Annahmen!J25,'Anhang Maschinen &amp; Arbeiten'!$D$7:$L$256,8,FALSE)+VLOOKUP(J25,'Anhang Maschinen &amp; Arbeiten'!$D$7:$L$256,6,FALSE))*O25))))</f>
        <v/>
      </c>
      <c r="R25" s="269"/>
      <c r="S25" s="431"/>
      <c r="T25" s="431"/>
      <c r="U25" s="432"/>
      <c r="V25" s="432"/>
      <c r="W25" s="272" t="str">
        <f>IF(ISBLANK(S25),"",VLOOKUP(S25,'Anhang Maschinen &amp; Arbeiten'!$D$7:$E$255,2,0))</f>
        <v/>
      </c>
      <c r="X25" s="276"/>
      <c r="Y25" s="274" t="s">
        <v>83</v>
      </c>
      <c r="Z25" s="275" t="str">
        <f>IF(ISBLANK(S25),"",IF(VLOOKUP(U25,Q!$A$6:$B$7,2,FALSE)=2,IF(Y25="Eigentum",(VLOOKUP(Annahmen!S25,'Anhang Maschinen &amp; Arbeiten'!$D$7:$L$256,5,FALSE)+VLOOKUP(Annahmen!S25,'Anhang Maschinen &amp; Arbeiten'!$D$7:$L$256,7,FALSE))*X25,IF(Y25="Lohnunt.",(VLOOKUP(Annahmen!S25,'Anhang Maschinen &amp; Arbeiten'!$D$7:$L$256,9,FALSE))*X25,(VLOOKUP(Annahmen!S25,'Anhang Maschinen &amp; Arbeiten'!$D$7:$L$256,8,FALSE)+VLOOKUP(S25,'Anhang Maschinen &amp; Arbeiten'!$D$7:$L$256,5,FALSE))*X25)),IF(Y25="Eigentum",(VLOOKUP(Annahmen!S25,'Anhang Maschinen &amp; Arbeiten'!$D$7:$L$256,6,FALSE)+VLOOKUP(Annahmen!S25,'Anhang Maschinen &amp; Arbeiten'!$D$7:$L$256,7,FALSE))*X25,IF(Y25="Lohnunt.",(VLOOKUP(Annahmen!S25,'Anhang Maschinen &amp; Arbeiten'!$D$7:$L$256,9,FALSE))*X25,(VLOOKUP(Annahmen!S25,'Anhang Maschinen &amp; Arbeiten'!$D$7:$L$256,8,FALSE)+VLOOKUP(S25,'Anhang Maschinen &amp; Arbeiten'!$D$7:$L$256,6,FALSE))*X25))))</f>
        <v/>
      </c>
      <c r="AA25" s="85" t="str">
        <f>IF(G25="location",VLOOKUP(Annahmen!A25,'Anhang Maschinen &amp; Arbeiten'!$D$7:$L$256,4,FALSE)*F25,"")</f>
        <v/>
      </c>
      <c r="AB25" s="85" t="str">
        <f>IF(P25="location",VLOOKUP(Annahmen!J25,'Anhang Maschinen &amp; Arbeiten'!$D$7:$L$256,4,FALSE)*O25,"")</f>
        <v/>
      </c>
      <c r="AC25" s="85" t="str">
        <f>IF(Y25="location",VLOOKUP(Annahmen!S25,'Anhang Maschinen &amp; Arbeiten'!$D$7:$L$256,4,FALSE)*X25,"")</f>
        <v/>
      </c>
    </row>
    <row r="26" spans="1:29" x14ac:dyDescent="0.35">
      <c r="A26" s="431"/>
      <c r="B26" s="431"/>
      <c r="C26" s="432"/>
      <c r="D26" s="432"/>
      <c r="E26" s="272" t="str">
        <f>IF(ISBLANK(A26),"",VLOOKUP(A26,'Anhang Maschinen &amp; Arbeiten'!$D$7:$E$255,2,0))</f>
        <v/>
      </c>
      <c r="F26" s="273"/>
      <c r="G26" s="274" t="s">
        <v>83</v>
      </c>
      <c r="H26" s="275" t="str">
        <f>IF(ISBLANK(A26),"",IF(VLOOKUP(C26,Q!$A$6:$B$7,2,FALSE)=2,IF(G26="Eigentum",(VLOOKUP(Annahmen!A26,'Anhang Maschinen &amp; Arbeiten'!$D$7:$L$256,5,FALSE)+VLOOKUP(Annahmen!A26,'Anhang Maschinen &amp; Arbeiten'!$D$7:$L$256,7,FALSE))*F26,IF(G26="Lohnunt.",(VLOOKUP(Annahmen!A26,'Anhang Maschinen &amp; Arbeiten'!$D$7:$L$256,9,FALSE))*F26,(VLOOKUP(Annahmen!A26,'Anhang Maschinen &amp; Arbeiten'!$D$7:$L$256,8,FALSE)+VLOOKUP(A26,'Anhang Maschinen &amp; Arbeiten'!$D$7:$L$256,5,FALSE))*F26)),IF(G26="Eigentum",(VLOOKUP(Annahmen!A26,'Anhang Maschinen &amp; Arbeiten'!$D$7:$L$256,6,FALSE)+VLOOKUP(Annahmen!A26,'Anhang Maschinen &amp; Arbeiten'!$D$7:$L$256,7,FALSE))*F26,IF(G26="Lohnunt.",(VLOOKUP(Annahmen!A26,'Anhang Maschinen &amp; Arbeiten'!$D$7:$L$256,9,FALSE))*F26,(VLOOKUP(Annahmen!A26,'Anhang Maschinen &amp; Arbeiten'!$D$7:$L$256,8,FALSE)+VLOOKUP(A26,'Anhang Maschinen &amp; Arbeiten'!$D$7:$L$256,6,FALSE))*F26))))</f>
        <v/>
      </c>
      <c r="I26" s="269"/>
      <c r="J26" s="431"/>
      <c r="K26" s="431"/>
      <c r="L26" s="432"/>
      <c r="M26" s="432"/>
      <c r="N26" s="272" t="str">
        <f>IF(ISBLANK(J26),"",VLOOKUP(J26,'Anhang Maschinen &amp; Arbeiten'!$D$7:$E$255,2,0))</f>
        <v/>
      </c>
      <c r="O26" s="276"/>
      <c r="P26" s="274" t="s">
        <v>83</v>
      </c>
      <c r="Q26" s="275" t="str">
        <f>IF(ISBLANK(J26),"",IF(VLOOKUP(L26,Q!$A$6:$B$7,2,FALSE)=2,IF(P26="Eigentum",(VLOOKUP(Annahmen!J26,'Anhang Maschinen &amp; Arbeiten'!$D$7:$L$256,5,FALSE)+VLOOKUP(Annahmen!J26,'Anhang Maschinen &amp; Arbeiten'!$D$7:$L$256,7,FALSE))*O26,IF(P26="Lohnunt.",(VLOOKUP(Annahmen!J26,'Anhang Maschinen &amp; Arbeiten'!$D$7:$L$256,9,FALSE))*O26,(VLOOKUP(Annahmen!J26,'Anhang Maschinen &amp; Arbeiten'!$D$7:$L$256,8,FALSE)+VLOOKUP(J26,'Anhang Maschinen &amp; Arbeiten'!$D$7:$L$256,5,FALSE))*O26)),IF(P26="Eigentum",(VLOOKUP(Annahmen!J26,'Anhang Maschinen &amp; Arbeiten'!$D$7:$L$256,6,FALSE)+VLOOKUP(Annahmen!J26,'Anhang Maschinen &amp; Arbeiten'!$D$7:$L$256,7,FALSE))*O26,IF(P26="Lohnunt.",(VLOOKUP(Annahmen!J26,'Anhang Maschinen &amp; Arbeiten'!$D$7:$L$256,9,FALSE))*O26,(VLOOKUP(Annahmen!J26,'Anhang Maschinen &amp; Arbeiten'!$D$7:$L$256,8,FALSE)+VLOOKUP(J26,'Anhang Maschinen &amp; Arbeiten'!$D$7:$L$256,6,FALSE))*O26))))</f>
        <v/>
      </c>
      <c r="R26" s="269"/>
      <c r="S26" s="431"/>
      <c r="T26" s="431"/>
      <c r="U26" s="432"/>
      <c r="V26" s="432"/>
      <c r="W26" s="272" t="str">
        <f>IF(ISBLANK(S26),"",VLOOKUP(S26,'Anhang Maschinen &amp; Arbeiten'!$D$7:$E$255,2,0))</f>
        <v/>
      </c>
      <c r="X26" s="276"/>
      <c r="Y26" s="274" t="s">
        <v>83</v>
      </c>
      <c r="Z26" s="275" t="str">
        <f>IF(ISBLANK(S26),"",IF(VLOOKUP(U26,Q!$A$6:$B$7,2,FALSE)=2,IF(Y26="Eigentum",(VLOOKUP(Annahmen!S26,'Anhang Maschinen &amp; Arbeiten'!$D$7:$L$256,5,FALSE)+VLOOKUP(Annahmen!S26,'Anhang Maschinen &amp; Arbeiten'!$D$7:$L$256,7,FALSE))*X26,IF(Y26="Lohnunt.",(VLOOKUP(Annahmen!S26,'Anhang Maschinen &amp; Arbeiten'!$D$7:$L$256,9,FALSE))*X26,(VLOOKUP(Annahmen!S26,'Anhang Maschinen &amp; Arbeiten'!$D$7:$L$256,8,FALSE)+VLOOKUP(S26,'Anhang Maschinen &amp; Arbeiten'!$D$7:$L$256,5,FALSE))*X26)),IF(Y26="Eigentum",(VLOOKUP(Annahmen!S26,'Anhang Maschinen &amp; Arbeiten'!$D$7:$L$256,6,FALSE)+VLOOKUP(Annahmen!S26,'Anhang Maschinen &amp; Arbeiten'!$D$7:$L$256,7,FALSE))*X26,IF(Y26="Lohnunt.",(VLOOKUP(Annahmen!S26,'Anhang Maschinen &amp; Arbeiten'!$D$7:$L$256,9,FALSE))*X26,(VLOOKUP(Annahmen!S26,'Anhang Maschinen &amp; Arbeiten'!$D$7:$L$256,8,FALSE)+VLOOKUP(S26,'Anhang Maschinen &amp; Arbeiten'!$D$7:$L$256,6,FALSE))*X26))))</f>
        <v/>
      </c>
      <c r="AA26" s="85" t="str">
        <f>IF(G26="location",VLOOKUP(Annahmen!A26,'Anhang Maschinen &amp; Arbeiten'!$D$7:$L$256,4,FALSE)*F26,"")</f>
        <v/>
      </c>
      <c r="AB26" s="85" t="str">
        <f>IF(P26="location",VLOOKUP(Annahmen!J26,'Anhang Maschinen &amp; Arbeiten'!$D$7:$L$256,4,FALSE)*O26,"")</f>
        <v/>
      </c>
      <c r="AC26" s="85" t="str">
        <f>IF(Y26="location",VLOOKUP(Annahmen!S26,'Anhang Maschinen &amp; Arbeiten'!$D$7:$L$256,4,FALSE)*X26,"")</f>
        <v/>
      </c>
    </row>
    <row r="27" spans="1:29" ht="15" thickBot="1" x14ac:dyDescent="0.4">
      <c r="A27" s="430"/>
      <c r="B27" s="430"/>
      <c r="C27" s="433"/>
      <c r="D27" s="433"/>
      <c r="E27" s="272" t="str">
        <f>IF(ISBLANK(A27),"",VLOOKUP(A27,'Anhang Maschinen &amp; Arbeiten'!$D$7:$E$255,2,0))</f>
        <v/>
      </c>
      <c r="F27" s="277"/>
      <c r="G27" s="274" t="s">
        <v>83</v>
      </c>
      <c r="H27" s="275" t="str">
        <f>IF(ISBLANK(A27),"",IF(VLOOKUP(C27,Q!$A$6:$B$7,2,FALSE)=2,IF(G27="Eigentum",(VLOOKUP(Annahmen!A27,'Anhang Maschinen &amp; Arbeiten'!$D$7:$L$256,5,FALSE)+VLOOKUP(Annahmen!A27,'Anhang Maschinen &amp; Arbeiten'!$D$7:$L$256,7,FALSE))*F27,IF(G27="Lohnunt.",(VLOOKUP(Annahmen!A27,'Anhang Maschinen &amp; Arbeiten'!$D$7:$L$256,9,FALSE))*F27,(VLOOKUP(Annahmen!A27,'Anhang Maschinen &amp; Arbeiten'!$D$7:$L$256,8,FALSE)+VLOOKUP(A27,'Anhang Maschinen &amp; Arbeiten'!$D$7:$L$256,5,FALSE))*F27)),IF(G27="Eigentum",(VLOOKUP(Annahmen!A27,'Anhang Maschinen &amp; Arbeiten'!$D$7:$L$256,6,FALSE)+VLOOKUP(Annahmen!A27,'Anhang Maschinen &amp; Arbeiten'!$D$7:$L$256,7,FALSE))*F27,IF(G27="Lohnunt.",(VLOOKUP(Annahmen!A27,'Anhang Maschinen &amp; Arbeiten'!$D$7:$L$256,9,FALSE))*F27,(VLOOKUP(Annahmen!A27,'Anhang Maschinen &amp; Arbeiten'!$D$7:$L$256,8,FALSE)+VLOOKUP(A27,'Anhang Maschinen &amp; Arbeiten'!$D$7:$L$256,6,FALSE))*F27))))</f>
        <v/>
      </c>
      <c r="I27" s="269"/>
      <c r="J27" s="430"/>
      <c r="K27" s="430"/>
      <c r="L27" s="433"/>
      <c r="M27" s="433"/>
      <c r="N27" s="272" t="str">
        <f>IF(ISBLANK(J27),"",VLOOKUP(J27,'Anhang Maschinen &amp; Arbeiten'!$D$7:$E$255,2,0))</f>
        <v/>
      </c>
      <c r="O27" s="278"/>
      <c r="P27" s="274" t="s">
        <v>83</v>
      </c>
      <c r="Q27" s="275" t="str">
        <f>IF(ISBLANK(J27),"",IF(VLOOKUP(L27,Q!$A$6:$B$7,2,FALSE)=2,IF(P27="Eigentum",(VLOOKUP(Annahmen!J27,'Anhang Maschinen &amp; Arbeiten'!$D$7:$L$256,5,FALSE)+VLOOKUP(Annahmen!J27,'Anhang Maschinen &amp; Arbeiten'!$D$7:$L$256,7,FALSE))*O27,IF(P27="Lohnunt.",(VLOOKUP(Annahmen!J27,'Anhang Maschinen &amp; Arbeiten'!$D$7:$L$256,9,FALSE))*O27,(VLOOKUP(Annahmen!J27,'Anhang Maschinen &amp; Arbeiten'!$D$7:$L$256,8,FALSE)+VLOOKUP(J27,'Anhang Maschinen &amp; Arbeiten'!$D$7:$L$256,5,FALSE))*O27)),IF(P27="Eigentum",(VLOOKUP(Annahmen!J27,'Anhang Maschinen &amp; Arbeiten'!$D$7:$L$256,6,FALSE)+VLOOKUP(Annahmen!J27,'Anhang Maschinen &amp; Arbeiten'!$D$7:$L$256,7,FALSE))*O27,IF(P27="Lohnunt.",(VLOOKUP(Annahmen!J27,'Anhang Maschinen &amp; Arbeiten'!$D$7:$L$256,9,FALSE))*O27,(VLOOKUP(Annahmen!J27,'Anhang Maschinen &amp; Arbeiten'!$D$7:$L$256,8,FALSE)+VLOOKUP(J27,'Anhang Maschinen &amp; Arbeiten'!$D$7:$L$256,6,FALSE))*O27))))</f>
        <v/>
      </c>
      <c r="R27" s="269"/>
      <c r="S27" s="430"/>
      <c r="T27" s="430"/>
      <c r="U27" s="433"/>
      <c r="V27" s="433"/>
      <c r="W27" s="272" t="str">
        <f>IF(ISBLANK(S27),"",VLOOKUP(S27,'Anhang Maschinen &amp; Arbeiten'!$D$7:$E$255,2,0))</f>
        <v/>
      </c>
      <c r="X27" s="278"/>
      <c r="Y27" s="274" t="s">
        <v>83</v>
      </c>
      <c r="Z27" s="275" t="str">
        <f>IF(ISBLANK(S27),"",IF(VLOOKUP(U27,Q!$A$6:$B$7,2,FALSE)=2,IF(Y27="Eigentum",(VLOOKUP(Annahmen!S27,'Anhang Maschinen &amp; Arbeiten'!$D$7:$L$256,5,FALSE)+VLOOKUP(Annahmen!S27,'Anhang Maschinen &amp; Arbeiten'!$D$7:$L$256,7,FALSE))*X27,IF(Y27="Lohnunt.",(VLOOKUP(Annahmen!S27,'Anhang Maschinen &amp; Arbeiten'!$D$7:$L$256,9,FALSE))*X27,(VLOOKUP(Annahmen!S27,'Anhang Maschinen &amp; Arbeiten'!$D$7:$L$256,8,FALSE)+VLOOKUP(S27,'Anhang Maschinen &amp; Arbeiten'!$D$7:$L$256,5,FALSE))*X27)),IF(Y27="Eigentum",(VLOOKUP(Annahmen!S27,'Anhang Maschinen &amp; Arbeiten'!$D$7:$L$256,6,FALSE)+VLOOKUP(Annahmen!S27,'Anhang Maschinen &amp; Arbeiten'!$D$7:$L$256,7,FALSE))*X27,IF(Y27="Lohnunt.",(VLOOKUP(Annahmen!S27,'Anhang Maschinen &amp; Arbeiten'!$D$7:$L$256,9,FALSE))*X27,(VLOOKUP(Annahmen!S27,'Anhang Maschinen &amp; Arbeiten'!$D$7:$L$256,8,FALSE)+VLOOKUP(S27,'Anhang Maschinen &amp; Arbeiten'!$D$7:$L$256,6,FALSE))*X27))))</f>
        <v/>
      </c>
      <c r="AA27" s="87" t="str">
        <f>IF(G27="location",VLOOKUP(Annahmen!A27,'Anhang Maschinen &amp; Arbeiten'!$D$7:$L$256,4,FALSE)*F27,"")</f>
        <v/>
      </c>
      <c r="AB27" s="88" t="str">
        <f>IF(P27="location",VLOOKUP(Annahmen!J27,'Anhang Maschinen &amp; Arbeiten'!$D$7:$L$256,4,FALSE)*O27,"")</f>
        <v/>
      </c>
      <c r="AC27" s="88" t="str">
        <f>IF(Y27="location",VLOOKUP(Annahmen!S27,'Anhang Maschinen &amp; Arbeiten'!$D$7:$L$256,4,FALSE)*X27,"")</f>
        <v/>
      </c>
    </row>
    <row r="28" spans="1:29" ht="15" thickTop="1" x14ac:dyDescent="0.35">
      <c r="A28" s="281" t="s">
        <v>229</v>
      </c>
      <c r="B28" s="271"/>
      <c r="C28" s="271"/>
      <c r="D28" s="271"/>
      <c r="E28" s="250"/>
      <c r="F28" s="282"/>
      <c r="G28" s="250"/>
      <c r="H28" s="283">
        <f>IF(SUMIFS(H7:H27,G7:G27,"Miete")=0,"",SUMIFS(H7:H27,G7:G27,"Miete"))</f>
        <v>108.27959999999999</v>
      </c>
      <c r="I28" s="284"/>
      <c r="J28" s="281" t="s">
        <v>229</v>
      </c>
      <c r="K28" s="271"/>
      <c r="L28" s="271"/>
      <c r="M28" s="271"/>
      <c r="N28" s="250"/>
      <c r="O28" s="272"/>
      <c r="P28" s="272"/>
      <c r="Q28" s="283">
        <f>IF((SUMIFS(Q7:Q27,P7:P27,"Miete"))=0,"",SUMIFS(Q7:Q27,P7:P27,"Miete"))</f>
        <v>168.07589999999999</v>
      </c>
      <c r="R28" s="284"/>
      <c r="S28" s="281" t="s">
        <v>229</v>
      </c>
      <c r="T28" s="271"/>
      <c r="U28" s="271"/>
      <c r="V28" s="271"/>
      <c r="W28" s="250"/>
      <c r="X28" s="272"/>
      <c r="Y28" s="272"/>
      <c r="Z28" s="283">
        <f>IF((SUMIFS(Z7:Z27,Y7:Y27,"Miete"))=0,"",SUMIFS(Z7:Z27,Y7:Y27,"Miete"))</f>
        <v>156.95519999999999</v>
      </c>
      <c r="AA28" s="89">
        <f t="shared" ref="AA28:AC28" si="0">SUM(AA7:AA27)</f>
        <v>0</v>
      </c>
      <c r="AB28" s="89">
        <f t="shared" si="0"/>
        <v>0</v>
      </c>
      <c r="AC28" s="89">
        <f t="shared" si="0"/>
        <v>0</v>
      </c>
    </row>
    <row r="29" spans="1:29" x14ac:dyDescent="0.35">
      <c r="A29" s="281" t="s">
        <v>230</v>
      </c>
      <c r="B29" s="271"/>
      <c r="C29" s="271"/>
      <c r="D29" s="271"/>
      <c r="E29" s="250"/>
      <c r="F29" s="282"/>
      <c r="G29" s="250"/>
      <c r="H29" s="283">
        <f>IF((SUMIFS(H7:H27,G7:G27,"Lohnunt."))=0,"",SUMIFS(H7:H27,G7:G27,"Lohnunt."))</f>
        <v>570</v>
      </c>
      <c r="I29" s="284"/>
      <c r="J29" s="281" t="s">
        <v>230</v>
      </c>
      <c r="K29" s="271"/>
      <c r="L29" s="271"/>
      <c r="M29" s="271"/>
      <c r="N29" s="250"/>
      <c r="O29" s="272"/>
      <c r="P29" s="272"/>
      <c r="Q29" s="283">
        <f>IF((SUMIFS(Q7:Q27,P7:P27,"Lohnunt."))=0,"",SUMIFS(Q7:Q27,P7:P27,"Lohnunt."))</f>
        <v>570</v>
      </c>
      <c r="R29" s="284"/>
      <c r="S29" s="281" t="s">
        <v>230</v>
      </c>
      <c r="T29" s="271"/>
      <c r="U29" s="271"/>
      <c r="V29" s="271"/>
      <c r="W29" s="250"/>
      <c r="X29" s="272"/>
      <c r="Y29" s="272"/>
      <c r="Z29" s="283">
        <f>IF((SUMIFS(Z7:Z27,Y7:Y27,"Lohnunt."))=0,"",SUMIFS(Z7:Z27,Y7:Y27,"Lohnunt."))</f>
        <v>440</v>
      </c>
    </row>
    <row r="30" spans="1:29" x14ac:dyDescent="0.35">
      <c r="A30" s="281" t="s">
        <v>231</v>
      </c>
      <c r="B30" s="271"/>
      <c r="C30" s="271"/>
      <c r="D30" s="271"/>
      <c r="E30" s="250"/>
      <c r="F30" s="282"/>
      <c r="G30" s="250"/>
      <c r="H30" s="283">
        <f>IF((SUMIFS(H7:H27,G7:G27,"Eigentum"))=0,"",SUMIFS(H7:H27,G7:G27,"Eigentum"))</f>
        <v>221.70230000000001</v>
      </c>
      <c r="I30" s="284"/>
      <c r="J30" s="281" t="s">
        <v>231</v>
      </c>
      <c r="K30" s="271"/>
      <c r="L30" s="271"/>
      <c r="M30" s="271"/>
      <c r="N30" s="250"/>
      <c r="O30" s="272"/>
      <c r="P30" s="272"/>
      <c r="Q30" s="283">
        <f>IF((SUMIFS(Q7:Q27,P7:P27,"Eigentum"))=0,"",SUMIFS(Q7:Q27,P7:P27,"Eigentum"))</f>
        <v>125.57599999999999</v>
      </c>
      <c r="R30" s="284"/>
      <c r="S30" s="281" t="s">
        <v>231</v>
      </c>
      <c r="T30" s="271"/>
      <c r="U30" s="271"/>
      <c r="V30" s="271"/>
      <c r="W30" s="250"/>
      <c r="X30" s="272"/>
      <c r="Y30" s="272"/>
      <c r="Z30" s="283">
        <f>IF((SUMIFS(Z7:Z27,Y7:Y27,"Eigentum"))=0,"",SUMIFS(Z7:Z27,Y7:Y27,"Eigentum"))</f>
        <v>175.28888571428573</v>
      </c>
    </row>
    <row r="31" spans="1:29" x14ac:dyDescent="0.35">
      <c r="A31" s="285" t="s">
        <v>232</v>
      </c>
      <c r="B31" s="286"/>
      <c r="C31" s="286"/>
      <c r="D31" s="286"/>
      <c r="E31" s="287"/>
      <c r="F31" s="288"/>
      <c r="G31" s="288"/>
      <c r="H31" s="289">
        <f>SUM(H28:H30)</f>
        <v>899.9819</v>
      </c>
      <c r="I31" s="290"/>
      <c r="J31" s="285" t="s">
        <v>232</v>
      </c>
      <c r="K31" s="286"/>
      <c r="L31" s="286"/>
      <c r="M31" s="286"/>
      <c r="N31" s="287"/>
      <c r="O31" s="288"/>
      <c r="P31" s="288"/>
      <c r="Q31" s="289">
        <f>SUM(Q28:Q30)</f>
        <v>863.65190000000007</v>
      </c>
      <c r="R31" s="290"/>
      <c r="S31" s="285" t="s">
        <v>232</v>
      </c>
      <c r="T31" s="286"/>
      <c r="U31" s="286"/>
      <c r="V31" s="286"/>
      <c r="W31" s="287"/>
      <c r="X31" s="288"/>
      <c r="Y31" s="288"/>
      <c r="Z31" s="289">
        <f>SUM(Z28:Z30)</f>
        <v>772.24408571428569</v>
      </c>
    </row>
    <row r="32" spans="1:29" ht="4.25" customHeight="1" x14ac:dyDescent="0.35">
      <c r="A32" s="259"/>
      <c r="B32" s="260"/>
      <c r="C32" s="260"/>
      <c r="D32" s="260"/>
      <c r="E32" s="261"/>
      <c r="F32" s="262"/>
      <c r="G32" s="262"/>
      <c r="H32" s="263"/>
      <c r="I32" s="262"/>
      <c r="J32" s="259"/>
      <c r="K32" s="260"/>
      <c r="L32" s="260"/>
      <c r="M32" s="260"/>
      <c r="N32" s="261"/>
      <c r="O32" s="262"/>
      <c r="P32" s="262"/>
      <c r="Q32" s="263"/>
      <c r="R32" s="262"/>
      <c r="S32" s="259"/>
      <c r="T32" s="260"/>
      <c r="U32" s="260"/>
      <c r="V32" s="260"/>
      <c r="W32" s="261"/>
      <c r="X32" s="262"/>
      <c r="Y32" s="262"/>
      <c r="Z32" s="263"/>
    </row>
    <row r="33" spans="1:29" x14ac:dyDescent="0.35">
      <c r="A33" s="252" t="s">
        <v>233</v>
      </c>
      <c r="B33" s="252"/>
      <c r="C33" s="252"/>
      <c r="D33" s="252"/>
      <c r="E33" s="252"/>
      <c r="F33" s="252"/>
      <c r="G33" s="252"/>
      <c r="H33" s="279"/>
      <c r="I33" s="290"/>
      <c r="J33" s="252" t="s">
        <v>233</v>
      </c>
      <c r="K33" s="252"/>
      <c r="L33" s="252"/>
      <c r="M33" s="252"/>
      <c r="N33" s="252"/>
      <c r="O33" s="252"/>
      <c r="P33" s="252"/>
      <c r="Q33" s="279"/>
      <c r="R33" s="290"/>
      <c r="S33" s="252" t="s">
        <v>233</v>
      </c>
      <c r="T33" s="252"/>
      <c r="U33" s="252"/>
      <c r="V33" s="252"/>
      <c r="W33" s="252"/>
      <c r="X33" s="252"/>
      <c r="Y33" s="252"/>
      <c r="Z33" s="279"/>
      <c r="AA33" s="85"/>
      <c r="AB33" s="85"/>
      <c r="AC33" s="85"/>
    </row>
    <row r="34" spans="1:29" x14ac:dyDescent="0.35">
      <c r="A34" s="271"/>
      <c r="B34" s="271"/>
      <c r="C34" s="271"/>
      <c r="D34" s="271"/>
      <c r="E34" s="250" t="s">
        <v>11</v>
      </c>
      <c r="F34" s="250" t="s">
        <v>223</v>
      </c>
      <c r="G34" s="251" t="s">
        <v>224</v>
      </c>
      <c r="H34" s="275"/>
      <c r="I34" s="269"/>
      <c r="J34" s="271"/>
      <c r="K34" s="271"/>
      <c r="L34" s="271"/>
      <c r="M34" s="271"/>
      <c r="N34" s="250" t="s">
        <v>11</v>
      </c>
      <c r="O34" s="250" t="s">
        <v>223</v>
      </c>
      <c r="P34" s="251" t="s">
        <v>224</v>
      </c>
      <c r="Q34" s="275"/>
      <c r="R34" s="269"/>
      <c r="S34" s="271"/>
      <c r="T34" s="271"/>
      <c r="U34" s="271"/>
      <c r="V34" s="271"/>
      <c r="W34" s="250" t="s">
        <v>11</v>
      </c>
      <c r="X34" s="250" t="s">
        <v>297</v>
      </c>
      <c r="Y34" s="251" t="s">
        <v>224</v>
      </c>
      <c r="Z34" s="275"/>
      <c r="AA34" s="85"/>
      <c r="AB34" s="85"/>
      <c r="AC34" s="85"/>
    </row>
    <row r="35" spans="1:29" x14ac:dyDescent="0.35">
      <c r="A35" s="434" t="s">
        <v>234</v>
      </c>
      <c r="B35" s="434"/>
      <c r="C35" s="291"/>
      <c r="D35" s="291"/>
      <c r="E35" s="292" t="s">
        <v>2</v>
      </c>
      <c r="F35" s="292">
        <v>40</v>
      </c>
      <c r="G35" s="300">
        <v>28</v>
      </c>
      <c r="H35" s="275">
        <f>IF(OR(F35=0,G35=0),"",F35*G35)</f>
        <v>1120</v>
      </c>
      <c r="I35" s="269"/>
      <c r="J35" s="434" t="s">
        <v>234</v>
      </c>
      <c r="K35" s="434"/>
      <c r="L35" s="291"/>
      <c r="M35" s="291"/>
      <c r="N35" s="292" t="s">
        <v>2</v>
      </c>
      <c r="O35" s="292">
        <v>10</v>
      </c>
      <c r="P35" s="300">
        <v>28</v>
      </c>
      <c r="Q35" s="275">
        <f>IF(OR(O35=0,P35=0),"",O35*P35)</f>
        <v>280</v>
      </c>
      <c r="R35" s="269"/>
      <c r="S35" s="434" t="s">
        <v>234</v>
      </c>
      <c r="T35" s="434"/>
      <c r="U35" s="291"/>
      <c r="V35" s="291"/>
      <c r="W35" s="292" t="s">
        <v>2</v>
      </c>
      <c r="X35" s="292">
        <v>5</v>
      </c>
      <c r="Y35" s="300">
        <v>28</v>
      </c>
      <c r="Z35" s="275">
        <f>IF(OR(X35=0,Y35=0),"",X35*Y35)</f>
        <v>140</v>
      </c>
      <c r="AA35" s="85"/>
      <c r="AB35" s="85"/>
      <c r="AC35" s="85"/>
    </row>
    <row r="36" spans="1:29" x14ac:dyDescent="0.35">
      <c r="A36" s="434"/>
      <c r="B36" s="434"/>
      <c r="C36" s="291"/>
      <c r="D36" s="291"/>
      <c r="E36" s="292"/>
      <c r="F36" s="292"/>
      <c r="G36" s="293"/>
      <c r="H36" s="275" t="str">
        <f>IF(OR(F36=0,G36=0),"",F36*G36)</f>
        <v/>
      </c>
      <c r="I36" s="269"/>
      <c r="J36" s="434"/>
      <c r="K36" s="434"/>
      <c r="L36" s="291"/>
      <c r="M36" s="291"/>
      <c r="N36" s="292"/>
      <c r="O36" s="292"/>
      <c r="P36" s="293"/>
      <c r="Q36" s="275" t="str">
        <f>IF(OR(O36=0,P36=0),"",O36*P36)</f>
        <v/>
      </c>
      <c r="R36" s="269"/>
      <c r="S36" s="434"/>
      <c r="T36" s="434"/>
      <c r="U36" s="291"/>
      <c r="V36" s="291"/>
      <c r="W36" s="292"/>
      <c r="X36" s="292"/>
      <c r="Y36" s="293"/>
      <c r="Z36" s="275" t="str">
        <f>IF(OR(X36=0,Y36=0),"",X36*Y36)</f>
        <v/>
      </c>
      <c r="AA36" s="85"/>
      <c r="AB36" s="85"/>
      <c r="AC36" s="85"/>
    </row>
    <row r="37" spans="1:29" x14ac:dyDescent="0.35">
      <c r="A37" s="285" t="s">
        <v>235</v>
      </c>
      <c r="B37" s="286"/>
      <c r="C37" s="286"/>
      <c r="D37" s="286"/>
      <c r="E37" s="287"/>
      <c r="F37" s="288"/>
      <c r="G37" s="288"/>
      <c r="H37" s="289">
        <f>SUM(H35:H36)</f>
        <v>1120</v>
      </c>
      <c r="I37" s="290"/>
      <c r="J37" s="285" t="s">
        <v>235</v>
      </c>
      <c r="K37" s="286"/>
      <c r="L37" s="286"/>
      <c r="M37" s="286"/>
      <c r="N37" s="287"/>
      <c r="O37" s="288"/>
      <c r="P37" s="288"/>
      <c r="Q37" s="289">
        <f>SUM(Q35:Q36)</f>
        <v>280</v>
      </c>
      <c r="R37" s="290"/>
      <c r="S37" s="285" t="s">
        <v>235</v>
      </c>
      <c r="T37" s="286"/>
      <c r="U37" s="286"/>
      <c r="V37" s="286"/>
      <c r="W37" s="287"/>
      <c r="X37" s="288"/>
      <c r="Y37" s="288"/>
      <c r="Z37" s="289">
        <f>SUM(Z35:Z36)</f>
        <v>140</v>
      </c>
    </row>
    <row r="38" spans="1:29" ht="4.25" customHeight="1" x14ac:dyDescent="0.35">
      <c r="A38" s="257"/>
      <c r="B38" s="257"/>
      <c r="C38" s="257"/>
      <c r="D38" s="257"/>
      <c r="E38" s="254"/>
      <c r="F38" s="258"/>
      <c r="G38" s="258"/>
      <c r="H38" s="264"/>
      <c r="I38" s="258"/>
      <c r="J38" s="257"/>
      <c r="K38" s="257"/>
      <c r="L38" s="257"/>
      <c r="M38" s="257"/>
      <c r="N38" s="254"/>
      <c r="O38" s="258"/>
      <c r="P38" s="258"/>
      <c r="Q38" s="264"/>
      <c r="R38" s="258"/>
      <c r="S38" s="257"/>
      <c r="T38" s="257"/>
      <c r="U38" s="257"/>
      <c r="V38" s="257"/>
      <c r="W38" s="254"/>
      <c r="X38" s="258"/>
      <c r="Y38" s="258"/>
      <c r="Z38" s="264"/>
    </row>
    <row r="39" spans="1:29" ht="15.5" x14ac:dyDescent="0.35">
      <c r="A39" s="294" t="s">
        <v>236</v>
      </c>
      <c r="B39" s="295"/>
      <c r="C39" s="295"/>
      <c r="D39" s="295">
        <f>(Annahmen!O35*Annahmen!P35+Annahmen!O36*Annahmen!P36)/SUM(Annahmen!O35:O36)</f>
        <v>28</v>
      </c>
      <c r="E39" s="296"/>
      <c r="F39" s="297"/>
      <c r="G39" s="297"/>
      <c r="H39" s="298">
        <f>H37+H31</f>
        <v>2019.9819</v>
      </c>
      <c r="I39" s="299"/>
      <c r="J39" s="294" t="s">
        <v>236</v>
      </c>
      <c r="K39" s="295"/>
      <c r="L39" s="295"/>
      <c r="M39" s="295"/>
      <c r="N39" s="296"/>
      <c r="O39" s="297"/>
      <c r="P39" s="297"/>
      <c r="Q39" s="298">
        <f>Q37+Q31</f>
        <v>1143.6519000000001</v>
      </c>
      <c r="R39" s="299"/>
      <c r="S39" s="294" t="s">
        <v>236</v>
      </c>
      <c r="T39" s="295"/>
      <c r="U39" s="295"/>
      <c r="V39" s="295"/>
      <c r="W39" s="296"/>
      <c r="X39" s="297"/>
      <c r="Y39" s="297"/>
      <c r="Z39" s="298">
        <f>Z37+Z31</f>
        <v>912.24408571428569</v>
      </c>
    </row>
    <row r="40" spans="1:29" x14ac:dyDescent="0.35">
      <c r="A40" s="82"/>
      <c r="B40" s="82"/>
      <c r="C40" s="82"/>
      <c r="D40" s="82"/>
      <c r="E40" s="82"/>
      <c r="F40" s="82"/>
      <c r="G40" s="82"/>
      <c r="H40" s="82"/>
      <c r="I40" s="86"/>
      <c r="J40" s="82"/>
      <c r="K40" s="82"/>
      <c r="L40" s="82"/>
      <c r="M40" s="82"/>
      <c r="N40" s="82"/>
      <c r="O40" s="82"/>
      <c r="P40" s="82"/>
      <c r="Q40" s="82"/>
      <c r="R40" s="86"/>
      <c r="S40" s="82"/>
      <c r="T40" s="82"/>
      <c r="U40" s="82"/>
      <c r="V40" s="82"/>
      <c r="W40" s="82"/>
      <c r="X40" s="82"/>
      <c r="Y40" s="82"/>
      <c r="Z40" s="82"/>
    </row>
    <row r="41" spans="1:29" x14ac:dyDescent="0.35">
      <c r="A41" s="82"/>
      <c r="B41" s="82"/>
      <c r="C41" s="82"/>
      <c r="D41" s="82"/>
      <c r="E41" s="82"/>
      <c r="F41" s="82"/>
      <c r="G41" s="82"/>
      <c r="H41" s="82"/>
      <c r="I41" s="86"/>
      <c r="J41" s="82"/>
      <c r="K41" s="82"/>
      <c r="L41" s="82"/>
      <c r="M41" s="82"/>
      <c r="N41" s="82"/>
      <c r="O41" s="82"/>
      <c r="P41" s="82"/>
      <c r="Q41" s="82"/>
      <c r="R41" s="86"/>
      <c r="S41" s="82"/>
      <c r="T41" s="82"/>
      <c r="U41" s="82"/>
      <c r="V41" s="82"/>
      <c r="W41" s="82"/>
      <c r="X41" s="82"/>
      <c r="Y41" s="82"/>
      <c r="Z41" s="82"/>
    </row>
    <row r="44" spans="1:29" x14ac:dyDescent="0.35">
      <c r="H44" s="90"/>
      <c r="I44" s="91"/>
      <c r="R44" s="91"/>
    </row>
  </sheetData>
  <sheetProtection sheet="1" objects="1" scenarios="1"/>
  <mergeCells count="99">
    <mergeCell ref="U25:V25"/>
    <mergeCell ref="U26:V26"/>
    <mergeCell ref="U27:V27"/>
    <mergeCell ref="L17:M17"/>
    <mergeCell ref="L18:M18"/>
    <mergeCell ref="L19:M19"/>
    <mergeCell ref="L23:M23"/>
    <mergeCell ref="L24:M24"/>
    <mergeCell ref="U23:V23"/>
    <mergeCell ref="U24:V24"/>
    <mergeCell ref="L26:M26"/>
    <mergeCell ref="L27:M27"/>
    <mergeCell ref="U15:V15"/>
    <mergeCell ref="U16:V16"/>
    <mergeCell ref="U17:V17"/>
    <mergeCell ref="U18:V18"/>
    <mergeCell ref="U19:V19"/>
    <mergeCell ref="C23:D23"/>
    <mergeCell ref="C24:D24"/>
    <mergeCell ref="C25:D25"/>
    <mergeCell ref="C26:D26"/>
    <mergeCell ref="C27:D27"/>
    <mergeCell ref="A8:B8"/>
    <mergeCell ref="J8:K8"/>
    <mergeCell ref="S8:T8"/>
    <mergeCell ref="A9:B9"/>
    <mergeCell ref="J9:K9"/>
    <mergeCell ref="S9:T9"/>
    <mergeCell ref="L8:M8"/>
    <mergeCell ref="L9:M9"/>
    <mergeCell ref="C8:D8"/>
    <mergeCell ref="C9:D9"/>
    <mergeCell ref="A3:H3"/>
    <mergeCell ref="J3:Q3"/>
    <mergeCell ref="S3:Z3"/>
    <mergeCell ref="A7:B7"/>
    <mergeCell ref="J7:K7"/>
    <mergeCell ref="S7:T7"/>
    <mergeCell ref="L7:M7"/>
    <mergeCell ref="U7:V7"/>
    <mergeCell ref="C7:D7"/>
    <mergeCell ref="A10:B10"/>
    <mergeCell ref="J10:K10"/>
    <mergeCell ref="S10:T10"/>
    <mergeCell ref="A11:B11"/>
    <mergeCell ref="J11:K11"/>
    <mergeCell ref="S11:T11"/>
    <mergeCell ref="L10:M10"/>
    <mergeCell ref="L11:M11"/>
    <mergeCell ref="C10:D10"/>
    <mergeCell ref="C11:D11"/>
    <mergeCell ref="A25:B25"/>
    <mergeCell ref="J25:K25"/>
    <mergeCell ref="S25:T25"/>
    <mergeCell ref="L25:M25"/>
    <mergeCell ref="A36:B36"/>
    <mergeCell ref="J36:K36"/>
    <mergeCell ref="S36:T36"/>
    <mergeCell ref="A26:B26"/>
    <mergeCell ref="J26:K26"/>
    <mergeCell ref="S26:T26"/>
    <mergeCell ref="A27:B27"/>
    <mergeCell ref="J27:K27"/>
    <mergeCell ref="S27:T27"/>
    <mergeCell ref="A35:B35"/>
    <mergeCell ref="J35:K35"/>
    <mergeCell ref="S35:T35"/>
    <mergeCell ref="U8:V8"/>
    <mergeCell ref="U9:V9"/>
    <mergeCell ref="U10:V10"/>
    <mergeCell ref="U11:V11"/>
    <mergeCell ref="A24:B24"/>
    <mergeCell ref="J24:K24"/>
    <mergeCell ref="S24:T24"/>
    <mergeCell ref="J23:K23"/>
    <mergeCell ref="S23:T23"/>
    <mergeCell ref="A17:B17"/>
    <mergeCell ref="J17:K17"/>
    <mergeCell ref="S17:T17"/>
    <mergeCell ref="A18:B18"/>
    <mergeCell ref="J18:K18"/>
    <mergeCell ref="S18:T18"/>
    <mergeCell ref="A19:B19"/>
    <mergeCell ref="J19:K19"/>
    <mergeCell ref="S19:T19"/>
    <mergeCell ref="A23:B23"/>
    <mergeCell ref="A15:B15"/>
    <mergeCell ref="J15:K15"/>
    <mergeCell ref="S15:T15"/>
    <mergeCell ref="A16:B16"/>
    <mergeCell ref="J16:K16"/>
    <mergeCell ref="S16:T16"/>
    <mergeCell ref="C15:D15"/>
    <mergeCell ref="C16:D16"/>
    <mergeCell ref="L15:M15"/>
    <mergeCell ref="L16:M16"/>
    <mergeCell ref="C17:D17"/>
    <mergeCell ref="C18:D18"/>
    <mergeCell ref="C19:D19"/>
  </mergeCells>
  <dataValidations count="5">
    <dataValidation type="list" allowBlank="1" showInputMessage="1" showErrorMessage="1" sqref="J23:K27 A23:B27 S23:T27">
      <formula1>récolte</formula1>
    </dataValidation>
    <dataValidation type="list" allowBlank="1" showInputMessage="1" showErrorMessage="1" sqref="J15:K20 A15:B20 S15:T20">
      <formula1>entretien_fumure</formula1>
    </dataValidation>
    <dataValidation type="list" allowBlank="1" showInputMessage="1" showErrorMessage="1" sqref="A7:B11 J7:K11 S7:T11">
      <formula1>semi</formula1>
    </dataValidation>
    <dataValidation type="list" allowBlank="1" showInputMessage="1" showErrorMessage="1" sqref="L23:L27 L15:L20 L7:L11 U23:U27 C23:C27 U15:U20 C7:C11 C15:C20 U7:U11">
      <formula1>supplement_GPS</formula1>
    </dataValidation>
    <dataValidation type="list" allowBlank="1" showInputMessage="1" showErrorMessage="1" sqref="P7:P11 G15:G20 G23:G27 Y7:Y11 Y23:Y27 P15:P20 Y15:Y20 P23:P27 G7:G11">
      <formula1>BesitzMieteDritte</formula1>
    </dataValidation>
  </dataValidations>
  <printOptions horizontalCentered="1" verticalCentered="1"/>
  <pageMargins left="0.31496062992125984" right="0.31496062992125984" top="0.74803149606299213" bottom="0.15748031496062992" header="0.31496062992125984" footer="0.15748031496062992"/>
  <pageSetup paperSize="9" scale="83" orientation="landscape" horizontalDpi="300" verticalDpi="300" r:id="rId1"/>
  <headerFooter>
    <oddHeader>&amp;L&amp;G&amp;C&amp;"-,Gras"&amp;14
Calculateur Marge-Brute SOJA-BIO&amp;R&amp;G</oddHeader>
    <oddFooter xml:space="preserve">&amp;C- 2 - </oddFooter>
  </headerFooter>
  <colBreaks count="1" manualBreakCount="1">
    <brk id="17" max="37"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zoomScaleNormal="100" zoomScaleSheetLayoutView="100" workbookViewId="0">
      <selection activeCell="C11" sqref="C11"/>
    </sheetView>
  </sheetViews>
  <sheetFormatPr baseColWidth="10" defaultColWidth="11.36328125" defaultRowHeight="14.5" x14ac:dyDescent="0.35"/>
  <cols>
    <col min="1" max="1" width="28.54296875" style="78" customWidth="1"/>
    <col min="2" max="4" width="7.81640625" style="78" customWidth="1"/>
    <col min="5" max="5" width="8.54296875" style="78" customWidth="1"/>
    <col min="6" max="8" width="7.81640625" style="78" customWidth="1"/>
    <col min="9" max="9" width="8.54296875" style="78" customWidth="1"/>
    <col min="10" max="12" width="7.81640625" style="78" customWidth="1"/>
    <col min="13" max="13" width="8.54296875" style="78" customWidth="1"/>
    <col min="14" max="15" width="5" style="78" customWidth="1"/>
    <col min="16" max="17" width="11.54296875" style="78" customWidth="1"/>
    <col min="18" max="19" width="11.54296875" style="78" hidden="1" customWidth="1"/>
    <col min="20" max="20" width="49.36328125" style="78" hidden="1" customWidth="1"/>
    <col min="21" max="21" width="11.54296875" style="78" hidden="1" customWidth="1"/>
    <col min="22" max="22" width="11.54296875" style="78" customWidth="1"/>
    <col min="23" max="16384" width="11.36328125" style="78"/>
  </cols>
  <sheetData>
    <row r="1" spans="1:17" s="15" customFormat="1" ht="24" customHeight="1" x14ac:dyDescent="0.35">
      <c r="A1" s="302" t="s">
        <v>237</v>
      </c>
      <c r="B1" s="121"/>
      <c r="C1" s="121"/>
      <c r="D1" s="121"/>
      <c r="E1" s="114"/>
      <c r="F1" s="115"/>
      <c r="G1" s="116"/>
      <c r="H1" s="115"/>
      <c r="I1" s="117"/>
      <c r="J1" s="117"/>
      <c r="K1" s="117"/>
      <c r="L1" s="118"/>
      <c r="M1" s="118"/>
      <c r="N1" s="13"/>
      <c r="O1" s="6"/>
      <c r="P1" s="6"/>
      <c r="Q1" s="14"/>
    </row>
    <row r="2" spans="1:17" ht="29" customHeight="1" x14ac:dyDescent="0.35">
      <c r="A2" s="301"/>
      <c r="B2" s="440" t="str">
        <f>Annahmen!A3</f>
        <v>Bio-Soja für Speisenutzung</v>
      </c>
      <c r="C2" s="440"/>
      <c r="D2" s="440"/>
      <c r="E2" s="441"/>
      <c r="F2" s="444" t="str">
        <f>Annahmen!J3</f>
        <v>Bio-Soja für Futternutzung</v>
      </c>
      <c r="G2" s="440"/>
      <c r="H2" s="440"/>
      <c r="I2" s="441"/>
      <c r="J2" s="440" t="str">
        <f>Annahmen!S3</f>
        <v>Freie Variante (Ackerbohnen)</v>
      </c>
      <c r="K2" s="440"/>
      <c r="L2" s="440"/>
      <c r="M2" s="440"/>
    </row>
    <row r="3" spans="1:17" x14ac:dyDescent="0.35">
      <c r="A3" s="301" t="s">
        <v>0</v>
      </c>
      <c r="B3" s="267" t="s">
        <v>238</v>
      </c>
      <c r="C3" s="267" t="s">
        <v>239</v>
      </c>
      <c r="D3" s="303" t="s">
        <v>240</v>
      </c>
      <c r="E3" s="304" t="s">
        <v>241</v>
      </c>
      <c r="F3" s="305" t="s">
        <v>238</v>
      </c>
      <c r="G3" s="267" t="s">
        <v>239</v>
      </c>
      <c r="H3" s="303" t="s">
        <v>240</v>
      </c>
      <c r="I3" s="304" t="s">
        <v>241</v>
      </c>
      <c r="J3" s="267" t="s">
        <v>238</v>
      </c>
      <c r="K3" s="267" t="s">
        <v>239</v>
      </c>
      <c r="L3" s="303" t="s">
        <v>240</v>
      </c>
      <c r="M3" s="306" t="s">
        <v>241</v>
      </c>
    </row>
    <row r="4" spans="1:17" x14ac:dyDescent="0.35">
      <c r="A4" s="257"/>
      <c r="B4" s="267"/>
      <c r="C4" s="303"/>
      <c r="D4" s="303" t="s">
        <v>225</v>
      </c>
      <c r="E4" s="307" t="s">
        <v>225</v>
      </c>
      <c r="F4" s="305"/>
      <c r="G4" s="303"/>
      <c r="H4" s="303" t="s">
        <v>225</v>
      </c>
      <c r="I4" s="307" t="s">
        <v>225</v>
      </c>
      <c r="J4" s="267"/>
      <c r="K4" s="303"/>
      <c r="L4" s="303" t="s">
        <v>225</v>
      </c>
      <c r="M4" s="308" t="s">
        <v>225</v>
      </c>
    </row>
    <row r="5" spans="1:17" x14ac:dyDescent="0.35">
      <c r="A5" s="309" t="s">
        <v>242</v>
      </c>
      <c r="B5" s="310">
        <v>21</v>
      </c>
      <c r="C5" s="311" t="s">
        <v>1</v>
      </c>
      <c r="D5" s="312">
        <v>220</v>
      </c>
      <c r="E5" s="313">
        <f>IF(OR(B5=0,D5=0),"",B5*D5)</f>
        <v>4620</v>
      </c>
      <c r="F5" s="314">
        <v>26</v>
      </c>
      <c r="G5" s="311" t="s">
        <v>1</v>
      </c>
      <c r="H5" s="312">
        <v>120</v>
      </c>
      <c r="I5" s="315">
        <f>IF(OR(F5=0,H5=0),"",F5*H5)</f>
        <v>3120</v>
      </c>
      <c r="J5" s="310">
        <v>32</v>
      </c>
      <c r="K5" s="311" t="s">
        <v>1</v>
      </c>
      <c r="L5" s="312">
        <v>78</v>
      </c>
      <c r="M5" s="316">
        <f>IF(OR(J5=0,L5=0),"",J5*L5)</f>
        <v>2496</v>
      </c>
    </row>
    <row r="6" spans="1:17" x14ac:dyDescent="0.35">
      <c r="A6" s="309" t="s">
        <v>259</v>
      </c>
      <c r="B6" s="317"/>
      <c r="C6" s="311" t="s">
        <v>1</v>
      </c>
      <c r="D6" s="318"/>
      <c r="E6" s="313" t="str">
        <f t="shared" ref="E6:E24" si="0">IF(OR(B6=0,D6=0),"",B6*D6)</f>
        <v/>
      </c>
      <c r="F6" s="319"/>
      <c r="G6" s="311" t="s">
        <v>1</v>
      </c>
      <c r="H6" s="318"/>
      <c r="I6" s="315" t="str">
        <f t="shared" ref="I6" si="1">IF(OR(F6=0,H6=0),"",F6*H6)</f>
        <v/>
      </c>
      <c r="J6" s="320"/>
      <c r="K6" s="311" t="s">
        <v>1</v>
      </c>
      <c r="L6" s="318"/>
      <c r="M6" s="316" t="str">
        <f t="shared" ref="M6" si="2">IF(OR(J6=0,L6=0),"",J6*L6)</f>
        <v/>
      </c>
    </row>
    <row r="7" spans="1:17" x14ac:dyDescent="0.35">
      <c r="A7" s="309" t="s">
        <v>243</v>
      </c>
      <c r="B7" s="320">
        <f>-1/6*100</f>
        <v>-16.666666666666664</v>
      </c>
      <c r="C7" s="321" t="s">
        <v>37</v>
      </c>
      <c r="D7" s="321"/>
      <c r="E7" s="313">
        <f>IF(B7=0,"",B7*E5/100)</f>
        <v>-769.99999999999989</v>
      </c>
      <c r="F7" s="319">
        <v>-10</v>
      </c>
      <c r="G7" s="321" t="s">
        <v>37</v>
      </c>
      <c r="H7" s="321"/>
      <c r="I7" s="315">
        <f>IF(F7=0,"",F7*I5/100)</f>
        <v>-312</v>
      </c>
      <c r="J7" s="320">
        <v>-10</v>
      </c>
      <c r="K7" s="321" t="s">
        <v>37</v>
      </c>
      <c r="L7" s="321"/>
      <c r="M7" s="316">
        <f>IF(J7=0,"",J7*M5/100)</f>
        <v>-249.6</v>
      </c>
    </row>
    <row r="8" spans="1:17" x14ac:dyDescent="0.35">
      <c r="A8" s="309" t="s">
        <v>244</v>
      </c>
      <c r="B8" s="309"/>
      <c r="C8" s="309"/>
      <c r="D8" s="322">
        <v>1000</v>
      </c>
      <c r="E8" s="313">
        <f>IF(D8=0,"",D8)</f>
        <v>1000</v>
      </c>
      <c r="F8" s="309"/>
      <c r="G8" s="309"/>
      <c r="H8" s="322">
        <v>1000</v>
      </c>
      <c r="I8" s="315">
        <f>IF(H8=0,"",H8)</f>
        <v>1000</v>
      </c>
      <c r="J8" s="309"/>
      <c r="K8" s="309"/>
      <c r="L8" s="322">
        <v>1000</v>
      </c>
      <c r="M8" s="315">
        <f>IF(L8=0,"",L8)</f>
        <v>1000</v>
      </c>
    </row>
    <row r="9" spans="1:17" x14ac:dyDescent="0.35">
      <c r="A9" s="309" t="s">
        <v>280</v>
      </c>
      <c r="B9" s="320"/>
      <c r="C9" s="323"/>
      <c r="D9" s="322"/>
      <c r="E9" s="313" t="str">
        <f>IF(D9=0,"",D9)</f>
        <v/>
      </c>
      <c r="F9" s="319"/>
      <c r="G9" s="323"/>
      <c r="H9" s="322"/>
      <c r="I9" s="315" t="str">
        <f>IF(H9=0,"",H9)</f>
        <v/>
      </c>
      <c r="J9" s="320"/>
      <c r="K9" s="323"/>
      <c r="L9" s="322">
        <v>400</v>
      </c>
      <c r="M9" s="315">
        <f>IF(L9=0,"",L9)</f>
        <v>400</v>
      </c>
    </row>
    <row r="10" spans="1:17" s="404" customFormat="1" ht="15.5" x14ac:dyDescent="0.35">
      <c r="A10" s="400" t="s">
        <v>245</v>
      </c>
      <c r="B10" s="442"/>
      <c r="C10" s="442"/>
      <c r="D10" s="442"/>
      <c r="E10" s="401">
        <f>SUM(E5:E9)</f>
        <v>4850</v>
      </c>
      <c r="F10" s="443"/>
      <c r="G10" s="442"/>
      <c r="H10" s="442"/>
      <c r="I10" s="402">
        <f>SUM(I5:I9)</f>
        <v>3808</v>
      </c>
      <c r="J10" s="436"/>
      <c r="K10" s="436"/>
      <c r="L10" s="436"/>
      <c r="M10" s="403">
        <f>SUM(M5:M9)</f>
        <v>3646.4</v>
      </c>
    </row>
    <row r="11" spans="1:17" x14ac:dyDescent="0.35">
      <c r="A11" s="324" t="s">
        <v>246</v>
      </c>
      <c r="B11" s="310">
        <v>5.5</v>
      </c>
      <c r="C11" s="325" t="s">
        <v>278</v>
      </c>
      <c r="D11" s="312">
        <v>117</v>
      </c>
      <c r="E11" s="313">
        <f t="shared" si="0"/>
        <v>643.5</v>
      </c>
      <c r="F11" s="314">
        <v>5.5</v>
      </c>
      <c r="G11" s="325" t="s">
        <v>278</v>
      </c>
      <c r="H11" s="312">
        <v>117</v>
      </c>
      <c r="I11" s="315">
        <f t="shared" ref="I11:I12" si="3">IF(OR(F11=0,H11=0),"",F11*H11)</f>
        <v>643.5</v>
      </c>
      <c r="J11" s="310">
        <v>2.5</v>
      </c>
      <c r="K11" s="325" t="s">
        <v>278</v>
      </c>
      <c r="L11" s="312">
        <v>200</v>
      </c>
      <c r="M11" s="316">
        <f t="shared" ref="M11:M12" si="4">IF(OR(J11=0,L11=0),"",J11*L11)</f>
        <v>500</v>
      </c>
    </row>
    <row r="12" spans="1:17" x14ac:dyDescent="0.35">
      <c r="A12" s="324" t="s">
        <v>247</v>
      </c>
      <c r="B12" s="310">
        <v>1</v>
      </c>
      <c r="C12" s="325" t="s">
        <v>279</v>
      </c>
      <c r="D12" s="312">
        <v>40</v>
      </c>
      <c r="E12" s="313">
        <f t="shared" si="0"/>
        <v>40</v>
      </c>
      <c r="F12" s="310">
        <v>1</v>
      </c>
      <c r="G12" s="325" t="s">
        <v>279</v>
      </c>
      <c r="H12" s="312">
        <v>40</v>
      </c>
      <c r="I12" s="315">
        <f t="shared" si="3"/>
        <v>40</v>
      </c>
      <c r="J12" s="310"/>
      <c r="K12" s="325" t="s">
        <v>279</v>
      </c>
      <c r="L12" s="312"/>
      <c r="M12" s="316" t="str">
        <f t="shared" si="4"/>
        <v/>
      </c>
    </row>
    <row r="13" spans="1:17" x14ac:dyDescent="0.35">
      <c r="A13" s="326" t="s">
        <v>248</v>
      </c>
      <c r="B13" s="327"/>
      <c r="C13" s="328"/>
      <c r="D13" s="329"/>
      <c r="E13" s="330">
        <f>SUM(E11:E12)</f>
        <v>683.5</v>
      </c>
      <c r="F13" s="331"/>
      <c r="G13" s="328"/>
      <c r="H13" s="329"/>
      <c r="I13" s="332">
        <f>SUM(I11:I12)</f>
        <v>683.5</v>
      </c>
      <c r="J13" s="327"/>
      <c r="K13" s="328"/>
      <c r="L13" s="329"/>
      <c r="M13" s="333">
        <f>SUM(M11:M12)</f>
        <v>500</v>
      </c>
    </row>
    <row r="14" spans="1:17" x14ac:dyDescent="0.35">
      <c r="A14" s="334" t="s">
        <v>249</v>
      </c>
      <c r="B14" s="310"/>
      <c r="C14" s="325"/>
      <c r="D14" s="312"/>
      <c r="E14" s="313" t="str">
        <f t="shared" si="0"/>
        <v/>
      </c>
      <c r="F14" s="314"/>
      <c r="G14" s="325"/>
      <c r="H14" s="312"/>
      <c r="I14" s="315" t="str">
        <f t="shared" ref="I14:I16" si="5">IF(OR(F14=0,H14=0),"",F14*H14)</f>
        <v/>
      </c>
      <c r="J14" s="310"/>
      <c r="K14" s="325"/>
      <c r="L14" s="312"/>
      <c r="M14" s="316" t="str">
        <f t="shared" ref="M14:M16" si="6">IF(OR(J14=0,L14=0),"",J14*L14)</f>
        <v/>
      </c>
    </row>
    <row r="15" spans="1:17" x14ac:dyDescent="0.35">
      <c r="A15" s="335" t="s">
        <v>250</v>
      </c>
      <c r="B15" s="310"/>
      <c r="C15" s="325"/>
      <c r="D15" s="312"/>
      <c r="E15" s="313" t="str">
        <f t="shared" si="0"/>
        <v/>
      </c>
      <c r="F15" s="314"/>
      <c r="G15" s="325"/>
      <c r="H15" s="312"/>
      <c r="I15" s="315" t="str">
        <f t="shared" si="5"/>
        <v/>
      </c>
      <c r="J15" s="310"/>
      <c r="K15" s="325"/>
      <c r="L15" s="312"/>
      <c r="M15" s="316" t="str">
        <f t="shared" si="6"/>
        <v/>
      </c>
    </row>
    <row r="16" spans="1:17" x14ac:dyDescent="0.35">
      <c r="A16" s="336"/>
      <c r="B16" s="310"/>
      <c r="C16" s="325"/>
      <c r="D16" s="312"/>
      <c r="E16" s="313" t="str">
        <f t="shared" si="0"/>
        <v/>
      </c>
      <c r="F16" s="314"/>
      <c r="G16" s="325"/>
      <c r="H16" s="312"/>
      <c r="I16" s="315" t="str">
        <f t="shared" si="5"/>
        <v/>
      </c>
      <c r="J16" s="310"/>
      <c r="K16" s="325"/>
      <c r="L16" s="312"/>
      <c r="M16" s="316" t="str">
        <f t="shared" si="6"/>
        <v/>
      </c>
    </row>
    <row r="17" spans="1:13" x14ac:dyDescent="0.35">
      <c r="A17" s="337" t="s">
        <v>251</v>
      </c>
      <c r="B17" s="338"/>
      <c r="C17" s="339"/>
      <c r="D17" s="340"/>
      <c r="E17" s="330">
        <f>SUM(E14:E16)</f>
        <v>0</v>
      </c>
      <c r="F17" s="341"/>
      <c r="G17" s="339"/>
      <c r="H17" s="340"/>
      <c r="I17" s="332">
        <f>SUM(I14:I16)</f>
        <v>0</v>
      </c>
      <c r="J17" s="338"/>
      <c r="K17" s="339"/>
      <c r="L17" s="340"/>
      <c r="M17" s="333">
        <f>SUM(M14:M16)</f>
        <v>0</v>
      </c>
    </row>
    <row r="18" spans="1:13" x14ac:dyDescent="0.35">
      <c r="A18" s="335" t="s">
        <v>252</v>
      </c>
      <c r="B18" s="310"/>
      <c r="C18" s="325"/>
      <c r="D18" s="312"/>
      <c r="E18" s="313" t="str">
        <f t="shared" si="0"/>
        <v/>
      </c>
      <c r="F18" s="314"/>
      <c r="G18" s="325"/>
      <c r="H18" s="312"/>
      <c r="I18" s="315" t="str">
        <f t="shared" ref="I18:I19" si="7">IF(OR(F18=0,H18=0),"",F18*H18)</f>
        <v/>
      </c>
      <c r="J18" s="310"/>
      <c r="K18" s="325"/>
      <c r="L18" s="312"/>
      <c r="M18" s="316" t="str">
        <f t="shared" ref="M18:M19" si="8">IF(OR(J18=0,L18=0),"",J18*L18)</f>
        <v/>
      </c>
    </row>
    <row r="19" spans="1:13" x14ac:dyDescent="0.35">
      <c r="A19" s="336"/>
      <c r="B19" s="310"/>
      <c r="C19" s="325"/>
      <c r="D19" s="312"/>
      <c r="E19" s="313" t="str">
        <f t="shared" si="0"/>
        <v/>
      </c>
      <c r="F19" s="314"/>
      <c r="G19" s="325"/>
      <c r="H19" s="312"/>
      <c r="I19" s="315" t="str">
        <f t="shared" si="7"/>
        <v/>
      </c>
      <c r="J19" s="310"/>
      <c r="K19" s="325"/>
      <c r="L19" s="312"/>
      <c r="M19" s="316" t="str">
        <f t="shared" si="8"/>
        <v/>
      </c>
    </row>
    <row r="20" spans="1:13" x14ac:dyDescent="0.35">
      <c r="A20" s="337" t="s">
        <v>253</v>
      </c>
      <c r="B20" s="338"/>
      <c r="C20" s="339"/>
      <c r="D20" s="339"/>
      <c r="E20" s="330">
        <f>SUM(E18:E19)</f>
        <v>0</v>
      </c>
      <c r="F20" s="341"/>
      <c r="G20" s="339"/>
      <c r="H20" s="339"/>
      <c r="I20" s="332">
        <f>SUM(I18:I19)</f>
        <v>0</v>
      </c>
      <c r="J20" s="338"/>
      <c r="K20" s="339"/>
      <c r="L20" s="339"/>
      <c r="M20" s="333">
        <f>SUM(M18:M19)</f>
        <v>0</v>
      </c>
    </row>
    <row r="21" spans="1:13" x14ac:dyDescent="0.35">
      <c r="A21" s="335" t="s">
        <v>254</v>
      </c>
      <c r="B21" s="342">
        <v>3.7999999999999999E-2</v>
      </c>
      <c r="C21" s="303" t="s">
        <v>38</v>
      </c>
      <c r="D21" s="343">
        <f>E5</f>
        <v>4620</v>
      </c>
      <c r="E21" s="313">
        <f t="shared" si="0"/>
        <v>175.56</v>
      </c>
      <c r="F21" s="342">
        <v>3.7999999999999999E-2</v>
      </c>
      <c r="G21" s="303" t="s">
        <v>38</v>
      </c>
      <c r="H21" s="343">
        <f>I5</f>
        <v>3120</v>
      </c>
      <c r="I21" s="315">
        <f t="shared" ref="I21:I24" si="9">IF(OR(F21=0,H21=0),"",F21*H21)</f>
        <v>118.56</v>
      </c>
      <c r="J21" s="342">
        <v>3.7999999999999999E-2</v>
      </c>
      <c r="K21" s="303" t="s">
        <v>38</v>
      </c>
      <c r="L21" s="343">
        <f>M5</f>
        <v>2496</v>
      </c>
      <c r="M21" s="316">
        <f t="shared" ref="M21:M24" si="10">IF(OR(J21=0,L21=0),"",J21*L21)</f>
        <v>94.847999999999999</v>
      </c>
    </row>
    <row r="22" spans="1:13" x14ac:dyDescent="0.35">
      <c r="A22" s="335" t="s">
        <v>255</v>
      </c>
      <c r="B22" s="344">
        <f>B5*0.89/0.84</f>
        <v>22.250000000000004</v>
      </c>
      <c r="C22" s="303" t="s">
        <v>1</v>
      </c>
      <c r="D22" s="345">
        <v>4.4400000000000004</v>
      </c>
      <c r="E22" s="313">
        <f>IF(OR(B22=0,D22=0),"",B22*D22)</f>
        <v>98.79000000000002</v>
      </c>
      <c r="F22" s="346">
        <f>F5*0.89/0.84</f>
        <v>27.547619047619051</v>
      </c>
      <c r="G22" s="303" t="s">
        <v>1</v>
      </c>
      <c r="H22" s="345">
        <v>4.4400000000000004</v>
      </c>
      <c r="I22" s="315">
        <f t="shared" si="9"/>
        <v>122.31142857142859</v>
      </c>
      <c r="J22" s="344">
        <v>33.4</v>
      </c>
      <c r="K22" s="303" t="s">
        <v>1</v>
      </c>
      <c r="L22" s="345">
        <v>4.4400000000000004</v>
      </c>
      <c r="M22" s="316">
        <f t="shared" si="10"/>
        <v>148.29600000000002</v>
      </c>
    </row>
    <row r="23" spans="1:13" x14ac:dyDescent="0.35">
      <c r="A23" s="335" t="s">
        <v>256</v>
      </c>
      <c r="B23" s="344">
        <f>B5*0.89/0.84</f>
        <v>22.250000000000004</v>
      </c>
      <c r="C23" s="347" t="s">
        <v>1</v>
      </c>
      <c r="D23" s="345">
        <v>7.17</v>
      </c>
      <c r="E23" s="313">
        <f t="shared" si="0"/>
        <v>159.53250000000003</v>
      </c>
      <c r="F23" s="346">
        <f>F5*0.89/0.84</f>
        <v>27.547619047619051</v>
      </c>
      <c r="G23" s="347" t="s">
        <v>1</v>
      </c>
      <c r="H23" s="345">
        <v>4.5999999999999996</v>
      </c>
      <c r="I23" s="315">
        <f t="shared" si="9"/>
        <v>126.71904761904763</v>
      </c>
      <c r="J23" s="344">
        <v>33.4</v>
      </c>
      <c r="K23" s="347" t="s">
        <v>1</v>
      </c>
      <c r="L23" s="345">
        <v>3.9</v>
      </c>
      <c r="M23" s="316">
        <f t="shared" si="10"/>
        <v>130.26</v>
      </c>
    </row>
    <row r="24" spans="1:13" x14ac:dyDescent="0.35">
      <c r="A24" s="335" t="s">
        <v>257</v>
      </c>
      <c r="B24" s="348">
        <f>B5</f>
        <v>21</v>
      </c>
      <c r="C24" s="303" t="s">
        <v>1</v>
      </c>
      <c r="D24" s="345">
        <v>0.12</v>
      </c>
      <c r="E24" s="313">
        <f t="shared" si="0"/>
        <v>2.52</v>
      </c>
      <c r="F24" s="349">
        <f>F5</f>
        <v>26</v>
      </c>
      <c r="G24" s="303" t="s">
        <v>1</v>
      </c>
      <c r="H24" s="345">
        <v>0.12</v>
      </c>
      <c r="I24" s="315">
        <f t="shared" si="9"/>
        <v>3.12</v>
      </c>
      <c r="J24" s="348">
        <f>J5</f>
        <v>32</v>
      </c>
      <c r="K24" s="303" t="s">
        <v>1</v>
      </c>
      <c r="L24" s="345">
        <v>0.11</v>
      </c>
      <c r="M24" s="316">
        <f t="shared" si="10"/>
        <v>3.52</v>
      </c>
    </row>
    <row r="25" spans="1:13" hidden="1" x14ac:dyDescent="0.35">
      <c r="A25" s="335"/>
      <c r="B25" s="348"/>
      <c r="C25" s="303"/>
      <c r="D25" s="350"/>
      <c r="E25" s="313">
        <v>0</v>
      </c>
      <c r="F25" s="349"/>
      <c r="G25" s="303"/>
      <c r="H25" s="350"/>
      <c r="I25" s="315">
        <v>0</v>
      </c>
      <c r="J25" s="348"/>
      <c r="K25" s="303"/>
      <c r="L25" s="350"/>
      <c r="M25" s="316"/>
    </row>
    <row r="26" spans="1:13" x14ac:dyDescent="0.35">
      <c r="A26" s="351" t="s">
        <v>258</v>
      </c>
      <c r="B26" s="338"/>
      <c r="C26" s="339"/>
      <c r="D26" s="340"/>
      <c r="E26" s="330">
        <f>SUM(E21:E25)</f>
        <v>436.40250000000003</v>
      </c>
      <c r="F26" s="341"/>
      <c r="G26" s="339"/>
      <c r="H26" s="340"/>
      <c r="I26" s="332">
        <f>SUM(I21:I25)</f>
        <v>370.71047619047624</v>
      </c>
      <c r="J26" s="338"/>
      <c r="K26" s="339"/>
      <c r="L26" s="340"/>
      <c r="M26" s="333">
        <f>SUM(M21:M25)</f>
        <v>376.92399999999998</v>
      </c>
    </row>
    <row r="27" spans="1:13" x14ac:dyDescent="0.35">
      <c r="A27" s="335"/>
      <c r="B27" s="348"/>
      <c r="C27" s="303"/>
      <c r="D27" s="350"/>
      <c r="E27" s="313"/>
      <c r="F27" s="349"/>
      <c r="G27" s="303"/>
      <c r="H27" s="350"/>
      <c r="I27" s="352"/>
      <c r="J27" s="348"/>
      <c r="K27" s="303"/>
      <c r="L27" s="350"/>
      <c r="M27" s="353"/>
    </row>
    <row r="28" spans="1:13" x14ac:dyDescent="0.35">
      <c r="A28" s="335"/>
      <c r="B28" s="348"/>
      <c r="C28" s="303"/>
      <c r="D28" s="350"/>
      <c r="E28" s="313"/>
      <c r="F28" s="349"/>
      <c r="G28" s="303"/>
      <c r="H28" s="350"/>
      <c r="I28" s="352"/>
      <c r="J28" s="348"/>
      <c r="K28" s="303"/>
      <c r="L28" s="350"/>
      <c r="M28" s="353"/>
    </row>
    <row r="29" spans="1:13" x14ac:dyDescent="0.35">
      <c r="A29" s="337" t="s">
        <v>260</v>
      </c>
      <c r="B29" s="338"/>
      <c r="C29" s="339"/>
      <c r="D29" s="340"/>
      <c r="E29" s="354"/>
      <c r="F29" s="341"/>
      <c r="G29" s="339"/>
      <c r="H29" s="340"/>
      <c r="I29" s="355"/>
      <c r="J29" s="338"/>
      <c r="K29" s="339"/>
      <c r="L29" s="340"/>
      <c r="M29" s="356"/>
    </row>
    <row r="30" spans="1:13" x14ac:dyDescent="0.35">
      <c r="A30" s="357" t="s">
        <v>261</v>
      </c>
      <c r="B30" s="261"/>
      <c r="C30" s="358"/>
      <c r="D30" s="358"/>
      <c r="E30" s="330">
        <f>E26+E20+E17+E13</f>
        <v>1119.9025000000001</v>
      </c>
      <c r="F30" s="359"/>
      <c r="G30" s="358"/>
      <c r="H30" s="358"/>
      <c r="I30" s="332">
        <f>I286+I26+I20+I17+I13</f>
        <v>1054.2104761904761</v>
      </c>
      <c r="J30" s="261"/>
      <c r="K30" s="358"/>
      <c r="L30" s="358"/>
      <c r="M30" s="333">
        <f>M286+M26+M20+M17+M13</f>
        <v>876.92399999999998</v>
      </c>
    </row>
    <row r="31" spans="1:13" s="404" customFormat="1" ht="15.5" x14ac:dyDescent="0.35">
      <c r="A31" s="405" t="s">
        <v>262</v>
      </c>
      <c r="B31" s="445"/>
      <c r="C31" s="445"/>
      <c r="D31" s="445"/>
      <c r="E31" s="401">
        <f>E10-E13-E17-E20-E26-E29</f>
        <v>3730.0974999999999</v>
      </c>
      <c r="F31" s="446"/>
      <c r="G31" s="445"/>
      <c r="H31" s="445"/>
      <c r="I31" s="402">
        <f>I10-I13-I17-I20-I26-I29</f>
        <v>2753.7895238095239</v>
      </c>
      <c r="J31" s="445"/>
      <c r="K31" s="445"/>
      <c r="L31" s="445"/>
      <c r="M31" s="403">
        <f>M10-M13-M17-M20-M26-M29</f>
        <v>2769.4760000000001</v>
      </c>
    </row>
    <row r="32" spans="1:13" ht="4" customHeight="1" x14ac:dyDescent="0.35">
      <c r="A32" s="357"/>
      <c r="B32" s="272"/>
      <c r="C32" s="272"/>
      <c r="D32" s="360"/>
      <c r="E32" s="313"/>
      <c r="F32" s="361"/>
      <c r="G32" s="272"/>
      <c r="H32" s="360"/>
      <c r="I32" s="362"/>
      <c r="J32" s="272"/>
      <c r="K32" s="272"/>
      <c r="L32" s="360"/>
      <c r="M32" s="270"/>
    </row>
    <row r="33" spans="1:13" x14ac:dyDescent="0.35">
      <c r="A33" s="335" t="s">
        <v>263</v>
      </c>
      <c r="B33" s="272"/>
      <c r="C33" s="272"/>
      <c r="D33" s="360"/>
      <c r="E33" s="313">
        <f>IF((Annahmen!H28)=0,"",Annahmen!H28)</f>
        <v>108.27959999999999</v>
      </c>
      <c r="F33" s="361"/>
      <c r="G33" s="272"/>
      <c r="H33" s="360"/>
      <c r="I33" s="362">
        <f>IF((Annahmen!Q28)=0,"",Annahmen!Q28)</f>
        <v>168.07589999999999</v>
      </c>
      <c r="J33" s="272"/>
      <c r="K33" s="272"/>
      <c r="L33" s="360"/>
      <c r="M33" s="270">
        <f>IF((Annahmen!Z28)=0,"",Annahmen!Z28)</f>
        <v>156.95519999999999</v>
      </c>
    </row>
    <row r="34" spans="1:13" x14ac:dyDescent="0.35">
      <c r="A34" s="335" t="s">
        <v>264</v>
      </c>
      <c r="B34" s="272"/>
      <c r="C34" s="272"/>
      <c r="D34" s="360"/>
      <c r="E34" s="313">
        <f>IF((Annahmen!H29)=0,"",Annahmen!H29)</f>
        <v>570</v>
      </c>
      <c r="F34" s="361"/>
      <c r="G34" s="272"/>
      <c r="H34" s="360"/>
      <c r="I34" s="362">
        <f>IF((Annahmen!Q29)=0,"",Annahmen!Q29)</f>
        <v>570</v>
      </c>
      <c r="J34" s="272"/>
      <c r="K34" s="272"/>
      <c r="L34" s="360"/>
      <c r="M34" s="270">
        <f>IF((Annahmen!Z29)=0,"",Annahmen!Z29)</f>
        <v>440</v>
      </c>
    </row>
    <row r="35" spans="1:13" x14ac:dyDescent="0.35">
      <c r="A35" s="335" t="s">
        <v>277</v>
      </c>
      <c r="B35" s="272"/>
      <c r="C35" s="272"/>
      <c r="D35" s="360"/>
      <c r="E35" s="313">
        <f>IF((Annahmen!H30)=0,"",Annahmen!H30)</f>
        <v>221.70230000000001</v>
      </c>
      <c r="F35" s="361"/>
      <c r="G35" s="272"/>
      <c r="H35" s="360"/>
      <c r="I35" s="362">
        <f>IF((Annahmen!Q30)=0,"",Annahmen!Q30)</f>
        <v>125.57599999999999</v>
      </c>
      <c r="J35" s="272"/>
      <c r="K35" s="272"/>
      <c r="L35" s="360"/>
      <c r="M35" s="270">
        <f>IF((Annahmen!Z30)=0,"",Annahmen!Z30)</f>
        <v>175.28888571428573</v>
      </c>
    </row>
    <row r="36" spans="1:13" x14ac:dyDescent="0.35">
      <c r="A36" s="285" t="s">
        <v>265</v>
      </c>
      <c r="B36" s="288"/>
      <c r="C36" s="287"/>
      <c r="D36" s="363"/>
      <c r="E36" s="364"/>
      <c r="F36" s="365"/>
      <c r="G36" s="287"/>
      <c r="H36" s="363"/>
      <c r="I36" s="366"/>
      <c r="J36" s="288"/>
      <c r="K36" s="287"/>
      <c r="L36" s="363"/>
      <c r="M36" s="367"/>
    </row>
    <row r="37" spans="1:13" ht="43.5" x14ac:dyDescent="0.35">
      <c r="A37" s="399" t="s">
        <v>266</v>
      </c>
      <c r="B37" s="368"/>
      <c r="C37" s="308"/>
      <c r="D37" s="369"/>
      <c r="E37" s="370">
        <f>SUM(E33:E35)</f>
        <v>899.9819</v>
      </c>
      <c r="F37" s="371"/>
      <c r="G37" s="308"/>
      <c r="H37" s="369"/>
      <c r="I37" s="372">
        <f>SUM(I33:I35)</f>
        <v>863.65190000000007</v>
      </c>
      <c r="J37" s="368"/>
      <c r="K37" s="308"/>
      <c r="L37" s="369"/>
      <c r="M37" s="373">
        <f>SUM(M33:M35)</f>
        <v>772.24408571428569</v>
      </c>
    </row>
    <row r="38" spans="1:13" x14ac:dyDescent="0.35">
      <c r="A38" s="335" t="s">
        <v>235</v>
      </c>
      <c r="B38" s="348">
        <f>SUM(Annahmen!F35:F36)</f>
        <v>40</v>
      </c>
      <c r="C38" s="303" t="str">
        <f>Annahmen!E35</f>
        <v>h</v>
      </c>
      <c r="D38" s="350">
        <f>(Annahmen!F35*Annahmen!G35+Annahmen!F36*Annahmen!G36)/SUM(Annahmen!F35:F36)</f>
        <v>28</v>
      </c>
      <c r="E38" s="330">
        <f>B38*D38</f>
        <v>1120</v>
      </c>
      <c r="F38" s="348">
        <f>SUM(Annahmen!O35:O36)</f>
        <v>10</v>
      </c>
      <c r="G38" s="303" t="str">
        <f>Annahmen!N35</f>
        <v>h</v>
      </c>
      <c r="H38" s="350">
        <f>(Annahmen!O35*Annahmen!P35+Annahmen!O36*Annahmen!P36)/SUM(Annahmen!O35:O36)</f>
        <v>28</v>
      </c>
      <c r="I38" s="332">
        <f>H38*F38</f>
        <v>280</v>
      </c>
      <c r="J38" s="348">
        <f>IF(SUM(Annahmen!X35:X36)=0,"",SUM(Annahmen!X35:X36))</f>
        <v>5</v>
      </c>
      <c r="K38" s="303" t="str">
        <f>IF(Annahmen!W35="","",Annahmen!W35)</f>
        <v>h</v>
      </c>
      <c r="L38" s="350">
        <f>IF(SUM(Annahmen!X35:X36)=0,"",(Annahmen!X35*Annahmen!Y35+Annahmen!X36*Annahmen!Y36)/SUM(Annahmen!X35:X36))</f>
        <v>28</v>
      </c>
      <c r="M38" s="332">
        <f>IF(OR(L38="",J38=""),"",(L38*J38))</f>
        <v>140</v>
      </c>
    </row>
    <row r="39" spans="1:13" x14ac:dyDescent="0.35">
      <c r="A39" s="335" t="s">
        <v>267</v>
      </c>
      <c r="B39" s="374">
        <v>0</v>
      </c>
      <c r="C39" s="375"/>
      <c r="D39" s="376">
        <f>E30+E37+E38</f>
        <v>3139.8843999999999</v>
      </c>
      <c r="E39" s="313" t="str">
        <f>IF(OR(B39=0,D39=0),"",B39*D39)</f>
        <v/>
      </c>
      <c r="F39" s="377">
        <v>0</v>
      </c>
      <c r="G39" s="378"/>
      <c r="H39" s="376">
        <f>I30+I37+I38</f>
        <v>2197.8623761904764</v>
      </c>
      <c r="I39" s="362" t="str">
        <f t="shared" ref="I39" si="11">IF(OR(F39=0,H39=0),"",F39*H39)</f>
        <v/>
      </c>
      <c r="J39" s="374">
        <v>0</v>
      </c>
      <c r="K39" s="378"/>
      <c r="L39" s="376">
        <f>SUM(M30,M37,M38)</f>
        <v>1789.1680857142856</v>
      </c>
      <c r="M39" s="270" t="str">
        <f>IF(OR(J39=0,L39=0),"",J39*L39)</f>
        <v/>
      </c>
    </row>
    <row r="40" spans="1:13" x14ac:dyDescent="0.35">
      <c r="A40" s="324" t="s">
        <v>268</v>
      </c>
      <c r="B40" s="379"/>
      <c r="C40" s="378"/>
      <c r="D40" s="376"/>
      <c r="E40" s="380">
        <v>43</v>
      </c>
      <c r="F40" s="381"/>
      <c r="G40" s="378"/>
      <c r="H40" s="382"/>
      <c r="I40" s="383">
        <v>43</v>
      </c>
      <c r="J40" s="379"/>
      <c r="K40" s="378"/>
      <c r="L40" s="382"/>
      <c r="M40" s="384">
        <v>43</v>
      </c>
    </row>
    <row r="41" spans="1:13" hidden="1" x14ac:dyDescent="0.35">
      <c r="A41" s="324"/>
      <c r="B41" s="379"/>
      <c r="C41" s="378"/>
      <c r="D41" s="382"/>
      <c r="E41" s="313"/>
      <c r="F41" s="381"/>
      <c r="G41" s="378"/>
      <c r="H41" s="382"/>
      <c r="I41" s="385"/>
      <c r="J41" s="379"/>
      <c r="K41" s="378"/>
      <c r="L41" s="382"/>
      <c r="M41" s="386"/>
    </row>
    <row r="42" spans="1:13" hidden="1" x14ac:dyDescent="0.35">
      <c r="A42" s="324"/>
      <c r="B42" s="379"/>
      <c r="C42" s="378"/>
      <c r="D42" s="382"/>
      <c r="E42" s="313"/>
      <c r="F42" s="381"/>
      <c r="G42" s="378"/>
      <c r="H42" s="382"/>
      <c r="I42" s="385"/>
      <c r="J42" s="379"/>
      <c r="K42" s="378"/>
      <c r="L42" s="382"/>
      <c r="M42" s="386"/>
    </row>
    <row r="43" spans="1:13" s="404" customFormat="1" ht="15.5" x14ac:dyDescent="0.35">
      <c r="A43" s="405" t="s">
        <v>269</v>
      </c>
      <c r="B43" s="406"/>
      <c r="C43" s="407"/>
      <c r="D43" s="408"/>
      <c r="E43" s="401">
        <f>E31-E37-E38-IF(E39="",0,E39)-E40</f>
        <v>1667.1156000000001</v>
      </c>
      <c r="F43" s="409"/>
      <c r="G43" s="406"/>
      <c r="H43" s="406"/>
      <c r="I43" s="410">
        <f>I31-I37-I38-IF(I39="",0,I39)-I40</f>
        <v>1567.1376238095238</v>
      </c>
      <c r="J43" s="406"/>
      <c r="K43" s="406"/>
      <c r="L43" s="406"/>
      <c r="M43" s="410">
        <f>M31-SUM(M37:M40)</f>
        <v>1814.2319142857145</v>
      </c>
    </row>
    <row r="44" spans="1:13" x14ac:dyDescent="0.35">
      <c r="A44" s="387" t="s">
        <v>270</v>
      </c>
      <c r="B44" s="388"/>
      <c r="C44" s="388"/>
      <c r="D44" s="388"/>
      <c r="E44" s="313"/>
      <c r="F44" s="389"/>
      <c r="G44" s="388"/>
      <c r="H44" s="388"/>
      <c r="I44" s="304"/>
      <c r="J44" s="388"/>
      <c r="K44" s="388"/>
      <c r="L44" s="388"/>
      <c r="M44" s="306"/>
    </row>
    <row r="45" spans="1:13" x14ac:dyDescent="0.35">
      <c r="A45" s="335" t="s">
        <v>271</v>
      </c>
      <c r="B45" s="388"/>
      <c r="C45" s="388"/>
      <c r="D45" s="388"/>
      <c r="E45" s="380"/>
      <c r="F45" s="389"/>
      <c r="G45" s="388"/>
      <c r="H45" s="388"/>
      <c r="I45" s="390"/>
      <c r="J45" s="388"/>
      <c r="K45" s="388"/>
      <c r="L45" s="388"/>
      <c r="M45" s="390"/>
    </row>
    <row r="46" spans="1:13" x14ac:dyDescent="0.35">
      <c r="A46" s="335" t="s">
        <v>272</v>
      </c>
      <c r="B46" s="388"/>
      <c r="C46" s="388"/>
      <c r="D46" s="388"/>
      <c r="E46" s="380">
        <v>1300</v>
      </c>
      <c r="F46" s="389"/>
      <c r="G46" s="388"/>
      <c r="H46" s="388"/>
      <c r="I46" s="390">
        <v>1300</v>
      </c>
      <c r="J46" s="388"/>
      <c r="K46" s="388"/>
      <c r="L46" s="388"/>
      <c r="M46" s="390">
        <v>1300</v>
      </c>
    </row>
    <row r="47" spans="1:13" x14ac:dyDescent="0.35">
      <c r="A47" s="391" t="s">
        <v>273</v>
      </c>
      <c r="B47" s="388"/>
      <c r="C47" s="388"/>
      <c r="D47" s="388"/>
      <c r="E47" s="380">
        <v>1200</v>
      </c>
      <c r="F47" s="389"/>
      <c r="G47" s="388"/>
      <c r="H47" s="388"/>
      <c r="I47" s="390">
        <v>1200</v>
      </c>
      <c r="J47" s="388"/>
      <c r="K47" s="388"/>
      <c r="L47" s="388"/>
      <c r="M47" s="390">
        <v>1200</v>
      </c>
    </row>
    <row r="48" spans="1:13" s="404" customFormat="1" ht="15.5" x14ac:dyDescent="0.35">
      <c r="A48" s="405" t="s">
        <v>274</v>
      </c>
      <c r="B48" s="406"/>
      <c r="C48" s="407"/>
      <c r="D48" s="408"/>
      <c r="E48" s="401">
        <f>E43+E45+E46+E47</f>
        <v>4167.1156000000001</v>
      </c>
      <c r="F48" s="409"/>
      <c r="G48" s="407"/>
      <c r="H48" s="408"/>
      <c r="I48" s="402">
        <f>I43+I45+I46+I47</f>
        <v>4067.1376238095236</v>
      </c>
      <c r="J48" s="406"/>
      <c r="K48" s="407"/>
      <c r="L48" s="408"/>
      <c r="M48" s="403">
        <f>M43+M45+M46+M47</f>
        <v>4314.2319142857141</v>
      </c>
    </row>
    <row r="49" spans="1:13" ht="7.5" customHeight="1" x14ac:dyDescent="0.35">
      <c r="A49" s="259"/>
      <c r="B49" s="392"/>
      <c r="C49" s="393"/>
      <c r="D49" s="394"/>
      <c r="E49" s="395"/>
      <c r="F49" s="396"/>
      <c r="G49" s="393"/>
      <c r="H49" s="394"/>
      <c r="I49" s="395"/>
      <c r="J49" s="392"/>
      <c r="K49" s="393"/>
      <c r="L49" s="394"/>
      <c r="M49" s="397"/>
    </row>
    <row r="50" spans="1:13" ht="14.5" customHeight="1" x14ac:dyDescent="0.35">
      <c r="A50" s="265" t="s">
        <v>22</v>
      </c>
      <c r="B50" s="437" t="s">
        <v>275</v>
      </c>
      <c r="C50" s="438"/>
      <c r="D50" s="438"/>
      <c r="E50" s="439"/>
      <c r="F50" s="437" t="s">
        <v>287</v>
      </c>
      <c r="G50" s="438"/>
      <c r="H50" s="438"/>
      <c r="I50" s="439"/>
      <c r="J50" s="437" t="s">
        <v>276</v>
      </c>
      <c r="K50" s="438"/>
      <c r="L50" s="438"/>
      <c r="M50" s="438"/>
    </row>
    <row r="51" spans="1:13" x14ac:dyDescent="0.35">
      <c r="A51" s="398"/>
      <c r="B51" s="438"/>
      <c r="C51" s="438"/>
      <c r="D51" s="438"/>
      <c r="E51" s="439"/>
      <c r="F51" s="438"/>
      <c r="G51" s="438"/>
      <c r="H51" s="438"/>
      <c r="I51" s="439"/>
      <c r="J51" s="438"/>
      <c r="K51" s="438"/>
      <c r="L51" s="438"/>
      <c r="M51" s="438"/>
    </row>
    <row r="52" spans="1:13" x14ac:dyDescent="0.35">
      <c r="A52" s="398"/>
      <c r="B52" s="438"/>
      <c r="C52" s="438"/>
      <c r="D52" s="438"/>
      <c r="E52" s="439"/>
      <c r="F52" s="438"/>
      <c r="G52" s="438"/>
      <c r="H52" s="438"/>
      <c r="I52" s="439"/>
      <c r="J52" s="438"/>
      <c r="K52" s="438"/>
      <c r="L52" s="438"/>
      <c r="M52" s="438"/>
    </row>
    <row r="53" spans="1:13" x14ac:dyDescent="0.35">
      <c r="A53" s="398"/>
      <c r="B53" s="438"/>
      <c r="C53" s="438"/>
      <c r="D53" s="438"/>
      <c r="E53" s="439"/>
      <c r="F53" s="438"/>
      <c r="G53" s="438"/>
      <c r="H53" s="438"/>
      <c r="I53" s="439"/>
      <c r="J53" s="438"/>
      <c r="K53" s="438"/>
      <c r="L53" s="438"/>
      <c r="M53" s="438"/>
    </row>
    <row r="58" spans="1:13" x14ac:dyDescent="0.35">
      <c r="D58" s="90"/>
    </row>
  </sheetData>
  <mergeCells count="12">
    <mergeCell ref="J10:L10"/>
    <mergeCell ref="B50:E53"/>
    <mergeCell ref="F50:I53"/>
    <mergeCell ref="J50:M53"/>
    <mergeCell ref="J2:M2"/>
    <mergeCell ref="B2:E2"/>
    <mergeCell ref="B10:D10"/>
    <mergeCell ref="F10:H10"/>
    <mergeCell ref="F2:I2"/>
    <mergeCell ref="B31:D31"/>
    <mergeCell ref="F31:H31"/>
    <mergeCell ref="J31:L31"/>
  </mergeCells>
  <dataValidations count="1">
    <dataValidation type="list" allowBlank="1" showInputMessage="1" showErrorMessage="1" sqref="A41">
      <formula1>entretien</formula1>
    </dataValidation>
  </dataValidations>
  <printOptions horizontalCentered="1" verticalCentered="1"/>
  <pageMargins left="0.31496062992125984" right="0.31496062992125984" top="0.82677165354330717" bottom="0.15748031496062992" header="0.31496062992125984" footer="0.23622047244094491"/>
  <pageSetup paperSize="9" scale="87" orientation="portrait" horizontalDpi="300" verticalDpi="300" r:id="rId1"/>
  <headerFooter>
    <oddHeader>&amp;L&amp;G&amp;C&amp;"-,Gras"&amp;14
                     Calculateur Marge-Brute SOJA-BIO&amp;R&amp;G</oddHeader>
    <oddFooter>&amp;C- 3 -</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showGridLines="0" showRowColHeaders="0" showZeros="0" zoomScaleNormal="100" zoomScaleSheetLayoutView="100" workbookViewId="0">
      <pane xSplit="4" ySplit="5" topLeftCell="E6" activePane="bottomRight" state="frozen"/>
      <selection activeCell="E10" sqref="E10"/>
      <selection pane="topRight" activeCell="E10" sqref="E10"/>
      <selection pane="bottomLeft" activeCell="E10" sqref="E10"/>
      <selection pane="bottomRight" activeCell="E4" sqref="E4"/>
    </sheetView>
  </sheetViews>
  <sheetFormatPr baseColWidth="10" defaultColWidth="8.7265625" defaultRowHeight="11.5" x14ac:dyDescent="0.25"/>
  <cols>
    <col min="1" max="1" width="5" style="48" hidden="1" customWidth="1"/>
    <col min="2" max="2" width="59.1796875" style="44" hidden="1" customWidth="1"/>
    <col min="3" max="3" width="3.81640625" style="48" hidden="1" customWidth="1"/>
    <col min="4" max="4" width="66.81640625" style="44" customWidth="1"/>
    <col min="5" max="6" width="4.36328125" style="48" bestFit="1" customWidth="1"/>
    <col min="7" max="7" width="6.7265625" style="50" customWidth="1"/>
    <col min="8" max="8" width="6.7265625" style="54" customWidth="1"/>
    <col min="9" max="9" width="6.7265625" style="50" customWidth="1"/>
    <col min="10" max="11" width="7.81640625" style="51" customWidth="1"/>
    <col min="12" max="12" width="6.26953125" style="51" customWidth="1"/>
    <col min="13" max="13" width="4.54296875" style="52" hidden="1" customWidth="1"/>
    <col min="14" max="14" width="4.26953125" style="52" hidden="1" customWidth="1"/>
    <col min="15" max="15" width="3.1796875" style="53" hidden="1" customWidth="1"/>
    <col min="16" max="16" width="3.81640625" style="48" hidden="1" customWidth="1"/>
    <col min="17" max="17" width="7.81640625" style="48" hidden="1" customWidth="1"/>
    <col min="18" max="18" width="8.7265625" style="45" hidden="1" customWidth="1"/>
    <col min="19" max="19" width="10.36328125" style="39" hidden="1" customWidth="1"/>
    <col min="20" max="20" width="23.36328125" style="39" hidden="1" customWidth="1"/>
    <col min="21" max="21" width="5.7265625" style="39" customWidth="1"/>
    <col min="22" max="22" width="30.1796875" style="39" customWidth="1"/>
    <col min="23" max="24" width="31.7265625" style="39" customWidth="1"/>
    <col min="25" max="226" width="8.7265625" style="39"/>
    <col min="227" max="227" width="5" style="39" customWidth="1"/>
    <col min="228" max="229" width="8.7265625" style="39" customWidth="1"/>
    <col min="230" max="230" width="34.7265625" style="39" customWidth="1"/>
    <col min="231" max="231" width="2.7265625" style="39" customWidth="1"/>
    <col min="232" max="232" width="3" style="39" customWidth="1"/>
    <col min="233" max="237" width="6.7265625" style="39" customWidth="1"/>
    <col min="238" max="238" width="6.26953125" style="39" customWidth="1"/>
    <col min="239" max="239" width="5.36328125" style="39" customWidth="1"/>
    <col min="240" max="240" width="4.54296875" style="39" customWidth="1"/>
    <col min="241" max="241" width="3.1796875" style="39" bestFit="1" customWidth="1"/>
    <col min="242" max="242" width="3.7265625" style="39" customWidth="1"/>
    <col min="243" max="243" width="8.7265625" style="39" customWidth="1"/>
    <col min="244" max="244" width="31.7265625" style="39" customWidth="1"/>
    <col min="245" max="245" width="23.36328125" style="39" customWidth="1"/>
    <col min="246" max="246" width="5.7265625" style="39" customWidth="1"/>
    <col min="247" max="247" width="30.1796875" style="39" customWidth="1"/>
    <col min="248" max="249" width="31.7265625" style="39" customWidth="1"/>
    <col min="250" max="250" width="103.7265625" style="39" customWidth="1"/>
    <col min="251" max="258" width="8.7265625" style="39" customWidth="1"/>
    <col min="259" max="482" width="8.7265625" style="39"/>
    <col min="483" max="483" width="5" style="39" customWidth="1"/>
    <col min="484" max="485" width="8.7265625" style="39" customWidth="1"/>
    <col min="486" max="486" width="34.7265625" style="39" customWidth="1"/>
    <col min="487" max="487" width="2.7265625" style="39" customWidth="1"/>
    <col min="488" max="488" width="3" style="39" customWidth="1"/>
    <col min="489" max="493" width="6.7265625" style="39" customWidth="1"/>
    <col min="494" max="494" width="6.26953125" style="39" customWidth="1"/>
    <col min="495" max="495" width="5.36328125" style="39" customWidth="1"/>
    <col min="496" max="496" width="4.54296875" style="39" customWidth="1"/>
    <col min="497" max="497" width="3.1796875" style="39" bestFit="1" customWidth="1"/>
    <col min="498" max="498" width="3.7265625" style="39" customWidth="1"/>
    <col min="499" max="499" width="8.7265625" style="39" customWidth="1"/>
    <col min="500" max="500" width="31.7265625" style="39" customWidth="1"/>
    <col min="501" max="501" width="23.36328125" style="39" customWidth="1"/>
    <col min="502" max="502" width="5.7265625" style="39" customWidth="1"/>
    <col min="503" max="503" width="30.1796875" style="39" customWidth="1"/>
    <col min="504" max="505" width="31.7265625" style="39" customWidth="1"/>
    <col min="506" max="506" width="103.7265625" style="39" customWidth="1"/>
    <col min="507" max="514" width="8.7265625" style="39" customWidth="1"/>
    <col min="515" max="738" width="8.7265625" style="39"/>
    <col min="739" max="739" width="5" style="39" customWidth="1"/>
    <col min="740" max="741" width="8.7265625" style="39" customWidth="1"/>
    <col min="742" max="742" width="34.7265625" style="39" customWidth="1"/>
    <col min="743" max="743" width="2.7265625" style="39" customWidth="1"/>
    <col min="744" max="744" width="3" style="39" customWidth="1"/>
    <col min="745" max="749" width="6.7265625" style="39" customWidth="1"/>
    <col min="750" max="750" width="6.26953125" style="39" customWidth="1"/>
    <col min="751" max="751" width="5.36328125" style="39" customWidth="1"/>
    <col min="752" max="752" width="4.54296875" style="39" customWidth="1"/>
    <col min="753" max="753" width="3.1796875" style="39" bestFit="1" customWidth="1"/>
    <col min="754" max="754" width="3.7265625" style="39" customWidth="1"/>
    <col min="755" max="755" width="8.7265625" style="39" customWidth="1"/>
    <col min="756" max="756" width="31.7265625" style="39" customWidth="1"/>
    <col min="757" max="757" width="23.36328125" style="39" customWidth="1"/>
    <col min="758" max="758" width="5.7265625" style="39" customWidth="1"/>
    <col min="759" max="759" width="30.1796875" style="39" customWidth="1"/>
    <col min="760" max="761" width="31.7265625" style="39" customWidth="1"/>
    <col min="762" max="762" width="103.7265625" style="39" customWidth="1"/>
    <col min="763" max="770" width="8.7265625" style="39" customWidth="1"/>
    <col min="771" max="994" width="8.7265625" style="39"/>
    <col min="995" max="995" width="5" style="39" customWidth="1"/>
    <col min="996" max="997" width="8.7265625" style="39" customWidth="1"/>
    <col min="998" max="998" width="34.7265625" style="39" customWidth="1"/>
    <col min="999" max="999" width="2.7265625" style="39" customWidth="1"/>
    <col min="1000" max="1000" width="3" style="39" customWidth="1"/>
    <col min="1001" max="1005" width="6.7265625" style="39" customWidth="1"/>
    <col min="1006" max="1006" width="6.26953125" style="39" customWidth="1"/>
    <col min="1007" max="1007" width="5.36328125" style="39" customWidth="1"/>
    <col min="1008" max="1008" width="4.54296875" style="39" customWidth="1"/>
    <col min="1009" max="1009" width="3.1796875" style="39" bestFit="1" customWidth="1"/>
    <col min="1010" max="1010" width="3.7265625" style="39" customWidth="1"/>
    <col min="1011" max="1011" width="8.7265625" style="39" customWidth="1"/>
    <col min="1012" max="1012" width="31.7265625" style="39" customWidth="1"/>
    <col min="1013" max="1013" width="23.36328125" style="39" customWidth="1"/>
    <col min="1014" max="1014" width="5.7265625" style="39" customWidth="1"/>
    <col min="1015" max="1015" width="30.1796875" style="39" customWidth="1"/>
    <col min="1016" max="1017" width="31.7265625" style="39" customWidth="1"/>
    <col min="1018" max="1018" width="103.7265625" style="39" customWidth="1"/>
    <col min="1019" max="1026" width="8.7265625" style="39" customWidth="1"/>
    <col min="1027" max="1250" width="8.7265625" style="39"/>
    <col min="1251" max="1251" width="5" style="39" customWidth="1"/>
    <col min="1252" max="1253" width="8.7265625" style="39" customWidth="1"/>
    <col min="1254" max="1254" width="34.7265625" style="39" customWidth="1"/>
    <col min="1255" max="1255" width="2.7265625" style="39" customWidth="1"/>
    <col min="1256" max="1256" width="3" style="39" customWidth="1"/>
    <col min="1257" max="1261" width="6.7265625" style="39" customWidth="1"/>
    <col min="1262" max="1262" width="6.26953125" style="39" customWidth="1"/>
    <col min="1263" max="1263" width="5.36328125" style="39" customWidth="1"/>
    <col min="1264" max="1264" width="4.54296875" style="39" customWidth="1"/>
    <col min="1265" max="1265" width="3.1796875" style="39" bestFit="1" customWidth="1"/>
    <col min="1266" max="1266" width="3.7265625" style="39" customWidth="1"/>
    <col min="1267" max="1267" width="8.7265625" style="39" customWidth="1"/>
    <col min="1268" max="1268" width="31.7265625" style="39" customWidth="1"/>
    <col min="1269" max="1269" width="23.36328125" style="39" customWidth="1"/>
    <col min="1270" max="1270" width="5.7265625" style="39" customWidth="1"/>
    <col min="1271" max="1271" width="30.1796875" style="39" customWidth="1"/>
    <col min="1272" max="1273" width="31.7265625" style="39" customWidth="1"/>
    <col min="1274" max="1274" width="103.7265625" style="39" customWidth="1"/>
    <col min="1275" max="1282" width="8.7265625" style="39" customWidth="1"/>
    <col min="1283" max="1506" width="8.7265625" style="39"/>
    <col min="1507" max="1507" width="5" style="39" customWidth="1"/>
    <col min="1508" max="1509" width="8.7265625" style="39" customWidth="1"/>
    <col min="1510" max="1510" width="34.7265625" style="39" customWidth="1"/>
    <col min="1511" max="1511" width="2.7265625" style="39" customWidth="1"/>
    <col min="1512" max="1512" width="3" style="39" customWidth="1"/>
    <col min="1513" max="1517" width="6.7265625" style="39" customWidth="1"/>
    <col min="1518" max="1518" width="6.26953125" style="39" customWidth="1"/>
    <col min="1519" max="1519" width="5.36328125" style="39" customWidth="1"/>
    <col min="1520" max="1520" width="4.54296875" style="39" customWidth="1"/>
    <col min="1521" max="1521" width="3.1796875" style="39" bestFit="1" customWidth="1"/>
    <col min="1522" max="1522" width="3.7265625" style="39" customWidth="1"/>
    <col min="1523" max="1523" width="8.7265625" style="39" customWidth="1"/>
    <col min="1524" max="1524" width="31.7265625" style="39" customWidth="1"/>
    <col min="1525" max="1525" width="23.36328125" style="39" customWidth="1"/>
    <col min="1526" max="1526" width="5.7265625" style="39" customWidth="1"/>
    <col min="1527" max="1527" width="30.1796875" style="39" customWidth="1"/>
    <col min="1528" max="1529" width="31.7265625" style="39" customWidth="1"/>
    <col min="1530" max="1530" width="103.7265625" style="39" customWidth="1"/>
    <col min="1531" max="1538" width="8.7265625" style="39" customWidth="1"/>
    <col min="1539" max="1762" width="8.7265625" style="39"/>
    <col min="1763" max="1763" width="5" style="39" customWidth="1"/>
    <col min="1764" max="1765" width="8.7265625" style="39" customWidth="1"/>
    <col min="1766" max="1766" width="34.7265625" style="39" customWidth="1"/>
    <col min="1767" max="1767" width="2.7265625" style="39" customWidth="1"/>
    <col min="1768" max="1768" width="3" style="39" customWidth="1"/>
    <col min="1769" max="1773" width="6.7265625" style="39" customWidth="1"/>
    <col min="1774" max="1774" width="6.26953125" style="39" customWidth="1"/>
    <col min="1775" max="1775" width="5.36328125" style="39" customWidth="1"/>
    <col min="1776" max="1776" width="4.54296875" style="39" customWidth="1"/>
    <col min="1777" max="1777" width="3.1796875" style="39" bestFit="1" customWidth="1"/>
    <col min="1778" max="1778" width="3.7265625" style="39" customWidth="1"/>
    <col min="1779" max="1779" width="8.7265625" style="39" customWidth="1"/>
    <col min="1780" max="1780" width="31.7265625" style="39" customWidth="1"/>
    <col min="1781" max="1781" width="23.36328125" style="39" customWidth="1"/>
    <col min="1782" max="1782" width="5.7265625" style="39" customWidth="1"/>
    <col min="1783" max="1783" width="30.1796875" style="39" customWidth="1"/>
    <col min="1784" max="1785" width="31.7265625" style="39" customWidth="1"/>
    <col min="1786" max="1786" width="103.7265625" style="39" customWidth="1"/>
    <col min="1787" max="1794" width="8.7265625" style="39" customWidth="1"/>
    <col min="1795" max="2018" width="8.7265625" style="39"/>
    <col min="2019" max="2019" width="5" style="39" customWidth="1"/>
    <col min="2020" max="2021" width="8.7265625" style="39" customWidth="1"/>
    <col min="2022" max="2022" width="34.7265625" style="39" customWidth="1"/>
    <col min="2023" max="2023" width="2.7265625" style="39" customWidth="1"/>
    <col min="2024" max="2024" width="3" style="39" customWidth="1"/>
    <col min="2025" max="2029" width="6.7265625" style="39" customWidth="1"/>
    <col min="2030" max="2030" width="6.26953125" style="39" customWidth="1"/>
    <col min="2031" max="2031" width="5.36328125" style="39" customWidth="1"/>
    <col min="2032" max="2032" width="4.54296875" style="39" customWidth="1"/>
    <col min="2033" max="2033" width="3.1796875" style="39" bestFit="1" customWidth="1"/>
    <col min="2034" max="2034" width="3.7265625" style="39" customWidth="1"/>
    <col min="2035" max="2035" width="8.7265625" style="39" customWidth="1"/>
    <col min="2036" max="2036" width="31.7265625" style="39" customWidth="1"/>
    <col min="2037" max="2037" width="23.36328125" style="39" customWidth="1"/>
    <col min="2038" max="2038" width="5.7265625" style="39" customWidth="1"/>
    <col min="2039" max="2039" width="30.1796875" style="39" customWidth="1"/>
    <col min="2040" max="2041" width="31.7265625" style="39" customWidth="1"/>
    <col min="2042" max="2042" width="103.7265625" style="39" customWidth="1"/>
    <col min="2043" max="2050" width="8.7265625" style="39" customWidth="1"/>
    <col min="2051" max="2274" width="8.7265625" style="39"/>
    <col min="2275" max="2275" width="5" style="39" customWidth="1"/>
    <col min="2276" max="2277" width="8.7265625" style="39" customWidth="1"/>
    <col min="2278" max="2278" width="34.7265625" style="39" customWidth="1"/>
    <col min="2279" max="2279" width="2.7265625" style="39" customWidth="1"/>
    <col min="2280" max="2280" width="3" style="39" customWidth="1"/>
    <col min="2281" max="2285" width="6.7265625" style="39" customWidth="1"/>
    <col min="2286" max="2286" width="6.26953125" style="39" customWidth="1"/>
    <col min="2287" max="2287" width="5.36328125" style="39" customWidth="1"/>
    <col min="2288" max="2288" width="4.54296875" style="39" customWidth="1"/>
    <col min="2289" max="2289" width="3.1796875" style="39" bestFit="1" customWidth="1"/>
    <col min="2290" max="2290" width="3.7265625" style="39" customWidth="1"/>
    <col min="2291" max="2291" width="8.7265625" style="39" customWidth="1"/>
    <col min="2292" max="2292" width="31.7265625" style="39" customWidth="1"/>
    <col min="2293" max="2293" width="23.36328125" style="39" customWidth="1"/>
    <col min="2294" max="2294" width="5.7265625" style="39" customWidth="1"/>
    <col min="2295" max="2295" width="30.1796875" style="39" customWidth="1"/>
    <col min="2296" max="2297" width="31.7265625" style="39" customWidth="1"/>
    <col min="2298" max="2298" width="103.7265625" style="39" customWidth="1"/>
    <col min="2299" max="2306" width="8.7265625" style="39" customWidth="1"/>
    <col min="2307" max="2530" width="8.7265625" style="39"/>
    <col min="2531" max="2531" width="5" style="39" customWidth="1"/>
    <col min="2532" max="2533" width="8.7265625" style="39" customWidth="1"/>
    <col min="2534" max="2534" width="34.7265625" style="39" customWidth="1"/>
    <col min="2535" max="2535" width="2.7265625" style="39" customWidth="1"/>
    <col min="2536" max="2536" width="3" style="39" customWidth="1"/>
    <col min="2537" max="2541" width="6.7265625" style="39" customWidth="1"/>
    <col min="2542" max="2542" width="6.26953125" style="39" customWidth="1"/>
    <col min="2543" max="2543" width="5.36328125" style="39" customWidth="1"/>
    <col min="2544" max="2544" width="4.54296875" style="39" customWidth="1"/>
    <col min="2545" max="2545" width="3.1796875" style="39" bestFit="1" customWidth="1"/>
    <col min="2546" max="2546" width="3.7265625" style="39" customWidth="1"/>
    <col min="2547" max="2547" width="8.7265625" style="39" customWidth="1"/>
    <col min="2548" max="2548" width="31.7265625" style="39" customWidth="1"/>
    <col min="2549" max="2549" width="23.36328125" style="39" customWidth="1"/>
    <col min="2550" max="2550" width="5.7265625" style="39" customWidth="1"/>
    <col min="2551" max="2551" width="30.1796875" style="39" customWidth="1"/>
    <col min="2552" max="2553" width="31.7265625" style="39" customWidth="1"/>
    <col min="2554" max="2554" width="103.7265625" style="39" customWidth="1"/>
    <col min="2555" max="2562" width="8.7265625" style="39" customWidth="1"/>
    <col min="2563" max="2786" width="8.7265625" style="39"/>
    <col min="2787" max="2787" width="5" style="39" customWidth="1"/>
    <col min="2788" max="2789" width="8.7265625" style="39" customWidth="1"/>
    <col min="2790" max="2790" width="34.7265625" style="39" customWidth="1"/>
    <col min="2791" max="2791" width="2.7265625" style="39" customWidth="1"/>
    <col min="2792" max="2792" width="3" style="39" customWidth="1"/>
    <col min="2793" max="2797" width="6.7265625" style="39" customWidth="1"/>
    <col min="2798" max="2798" width="6.26953125" style="39" customWidth="1"/>
    <col min="2799" max="2799" width="5.36328125" style="39" customWidth="1"/>
    <col min="2800" max="2800" width="4.54296875" style="39" customWidth="1"/>
    <col min="2801" max="2801" width="3.1796875" style="39" bestFit="1" customWidth="1"/>
    <col min="2802" max="2802" width="3.7265625" style="39" customWidth="1"/>
    <col min="2803" max="2803" width="8.7265625" style="39" customWidth="1"/>
    <col min="2804" max="2804" width="31.7265625" style="39" customWidth="1"/>
    <col min="2805" max="2805" width="23.36328125" style="39" customWidth="1"/>
    <col min="2806" max="2806" width="5.7265625" style="39" customWidth="1"/>
    <col min="2807" max="2807" width="30.1796875" style="39" customWidth="1"/>
    <col min="2808" max="2809" width="31.7265625" style="39" customWidth="1"/>
    <col min="2810" max="2810" width="103.7265625" style="39" customWidth="1"/>
    <col min="2811" max="2818" width="8.7265625" style="39" customWidth="1"/>
    <col min="2819" max="3042" width="8.7265625" style="39"/>
    <col min="3043" max="3043" width="5" style="39" customWidth="1"/>
    <col min="3044" max="3045" width="8.7265625" style="39" customWidth="1"/>
    <col min="3046" max="3046" width="34.7265625" style="39" customWidth="1"/>
    <col min="3047" max="3047" width="2.7265625" style="39" customWidth="1"/>
    <col min="3048" max="3048" width="3" style="39" customWidth="1"/>
    <col min="3049" max="3053" width="6.7265625" style="39" customWidth="1"/>
    <col min="3054" max="3054" width="6.26953125" style="39" customWidth="1"/>
    <col min="3055" max="3055" width="5.36328125" style="39" customWidth="1"/>
    <col min="3056" max="3056" width="4.54296875" style="39" customWidth="1"/>
    <col min="3057" max="3057" width="3.1796875" style="39" bestFit="1" customWidth="1"/>
    <col min="3058" max="3058" width="3.7265625" style="39" customWidth="1"/>
    <col min="3059" max="3059" width="8.7265625" style="39" customWidth="1"/>
    <col min="3060" max="3060" width="31.7265625" style="39" customWidth="1"/>
    <col min="3061" max="3061" width="23.36328125" style="39" customWidth="1"/>
    <col min="3062" max="3062" width="5.7265625" style="39" customWidth="1"/>
    <col min="3063" max="3063" width="30.1796875" style="39" customWidth="1"/>
    <col min="3064" max="3065" width="31.7265625" style="39" customWidth="1"/>
    <col min="3066" max="3066" width="103.7265625" style="39" customWidth="1"/>
    <col min="3067" max="3074" width="8.7265625" style="39" customWidth="1"/>
    <col min="3075" max="3298" width="8.7265625" style="39"/>
    <col min="3299" max="3299" width="5" style="39" customWidth="1"/>
    <col min="3300" max="3301" width="8.7265625" style="39" customWidth="1"/>
    <col min="3302" max="3302" width="34.7265625" style="39" customWidth="1"/>
    <col min="3303" max="3303" width="2.7265625" style="39" customWidth="1"/>
    <col min="3304" max="3304" width="3" style="39" customWidth="1"/>
    <col min="3305" max="3309" width="6.7265625" style="39" customWidth="1"/>
    <col min="3310" max="3310" width="6.26953125" style="39" customWidth="1"/>
    <col min="3311" max="3311" width="5.36328125" style="39" customWidth="1"/>
    <col min="3312" max="3312" width="4.54296875" style="39" customWidth="1"/>
    <col min="3313" max="3313" width="3.1796875" style="39" bestFit="1" customWidth="1"/>
    <col min="3314" max="3314" width="3.7265625" style="39" customWidth="1"/>
    <col min="3315" max="3315" width="8.7265625" style="39" customWidth="1"/>
    <col min="3316" max="3316" width="31.7265625" style="39" customWidth="1"/>
    <col min="3317" max="3317" width="23.36328125" style="39" customWidth="1"/>
    <col min="3318" max="3318" width="5.7265625" style="39" customWidth="1"/>
    <col min="3319" max="3319" width="30.1796875" style="39" customWidth="1"/>
    <col min="3320" max="3321" width="31.7265625" style="39" customWidth="1"/>
    <col min="3322" max="3322" width="103.7265625" style="39" customWidth="1"/>
    <col min="3323" max="3330" width="8.7265625" style="39" customWidth="1"/>
    <col min="3331" max="3554" width="8.7265625" style="39"/>
    <col min="3555" max="3555" width="5" style="39" customWidth="1"/>
    <col min="3556" max="3557" width="8.7265625" style="39" customWidth="1"/>
    <col min="3558" max="3558" width="34.7265625" style="39" customWidth="1"/>
    <col min="3559" max="3559" width="2.7265625" style="39" customWidth="1"/>
    <col min="3560" max="3560" width="3" style="39" customWidth="1"/>
    <col min="3561" max="3565" width="6.7265625" style="39" customWidth="1"/>
    <col min="3566" max="3566" width="6.26953125" style="39" customWidth="1"/>
    <col min="3567" max="3567" width="5.36328125" style="39" customWidth="1"/>
    <col min="3568" max="3568" width="4.54296875" style="39" customWidth="1"/>
    <col min="3569" max="3569" width="3.1796875" style="39" bestFit="1" customWidth="1"/>
    <col min="3570" max="3570" width="3.7265625" style="39" customWidth="1"/>
    <col min="3571" max="3571" width="8.7265625" style="39" customWidth="1"/>
    <col min="3572" max="3572" width="31.7265625" style="39" customWidth="1"/>
    <col min="3573" max="3573" width="23.36328125" style="39" customWidth="1"/>
    <col min="3574" max="3574" width="5.7265625" style="39" customWidth="1"/>
    <col min="3575" max="3575" width="30.1796875" style="39" customWidth="1"/>
    <col min="3576" max="3577" width="31.7265625" style="39" customWidth="1"/>
    <col min="3578" max="3578" width="103.7265625" style="39" customWidth="1"/>
    <col min="3579" max="3586" width="8.7265625" style="39" customWidth="1"/>
    <col min="3587" max="3810" width="8.7265625" style="39"/>
    <col min="3811" max="3811" width="5" style="39" customWidth="1"/>
    <col min="3812" max="3813" width="8.7265625" style="39" customWidth="1"/>
    <col min="3814" max="3814" width="34.7265625" style="39" customWidth="1"/>
    <col min="3815" max="3815" width="2.7265625" style="39" customWidth="1"/>
    <col min="3816" max="3816" width="3" style="39" customWidth="1"/>
    <col min="3817" max="3821" width="6.7265625" style="39" customWidth="1"/>
    <col min="3822" max="3822" width="6.26953125" style="39" customWidth="1"/>
    <col min="3823" max="3823" width="5.36328125" style="39" customWidth="1"/>
    <col min="3824" max="3824" width="4.54296875" style="39" customWidth="1"/>
    <col min="3825" max="3825" width="3.1796875" style="39" bestFit="1" customWidth="1"/>
    <col min="3826" max="3826" width="3.7265625" style="39" customWidth="1"/>
    <col min="3827" max="3827" width="8.7265625" style="39" customWidth="1"/>
    <col min="3828" max="3828" width="31.7265625" style="39" customWidth="1"/>
    <col min="3829" max="3829" width="23.36328125" style="39" customWidth="1"/>
    <col min="3830" max="3830" width="5.7265625" style="39" customWidth="1"/>
    <col min="3831" max="3831" width="30.1796875" style="39" customWidth="1"/>
    <col min="3832" max="3833" width="31.7265625" style="39" customWidth="1"/>
    <col min="3834" max="3834" width="103.7265625" style="39" customWidth="1"/>
    <col min="3835" max="3842" width="8.7265625" style="39" customWidth="1"/>
    <col min="3843" max="4066" width="8.7265625" style="39"/>
    <col min="4067" max="4067" width="5" style="39" customWidth="1"/>
    <col min="4068" max="4069" width="8.7265625" style="39" customWidth="1"/>
    <col min="4070" max="4070" width="34.7265625" style="39" customWidth="1"/>
    <col min="4071" max="4071" width="2.7265625" style="39" customWidth="1"/>
    <col min="4072" max="4072" width="3" style="39" customWidth="1"/>
    <col min="4073" max="4077" width="6.7265625" style="39" customWidth="1"/>
    <col min="4078" max="4078" width="6.26953125" style="39" customWidth="1"/>
    <col min="4079" max="4079" width="5.36328125" style="39" customWidth="1"/>
    <col min="4080" max="4080" width="4.54296875" style="39" customWidth="1"/>
    <col min="4081" max="4081" width="3.1796875" style="39" bestFit="1" customWidth="1"/>
    <col min="4082" max="4082" width="3.7265625" style="39" customWidth="1"/>
    <col min="4083" max="4083" width="8.7265625" style="39" customWidth="1"/>
    <col min="4084" max="4084" width="31.7265625" style="39" customWidth="1"/>
    <col min="4085" max="4085" width="23.36328125" style="39" customWidth="1"/>
    <col min="4086" max="4086" width="5.7265625" style="39" customWidth="1"/>
    <col min="4087" max="4087" width="30.1796875" style="39" customWidth="1"/>
    <col min="4088" max="4089" width="31.7265625" style="39" customWidth="1"/>
    <col min="4090" max="4090" width="103.7265625" style="39" customWidth="1"/>
    <col min="4091" max="4098" width="8.7265625" style="39" customWidth="1"/>
    <col min="4099" max="4322" width="8.7265625" style="39"/>
    <col min="4323" max="4323" width="5" style="39" customWidth="1"/>
    <col min="4324" max="4325" width="8.7265625" style="39" customWidth="1"/>
    <col min="4326" max="4326" width="34.7265625" style="39" customWidth="1"/>
    <col min="4327" max="4327" width="2.7265625" style="39" customWidth="1"/>
    <col min="4328" max="4328" width="3" style="39" customWidth="1"/>
    <col min="4329" max="4333" width="6.7265625" style="39" customWidth="1"/>
    <col min="4334" max="4334" width="6.26953125" style="39" customWidth="1"/>
    <col min="4335" max="4335" width="5.36328125" style="39" customWidth="1"/>
    <col min="4336" max="4336" width="4.54296875" style="39" customWidth="1"/>
    <col min="4337" max="4337" width="3.1796875" style="39" bestFit="1" customWidth="1"/>
    <col min="4338" max="4338" width="3.7265625" style="39" customWidth="1"/>
    <col min="4339" max="4339" width="8.7265625" style="39" customWidth="1"/>
    <col min="4340" max="4340" width="31.7265625" style="39" customWidth="1"/>
    <col min="4341" max="4341" width="23.36328125" style="39" customWidth="1"/>
    <col min="4342" max="4342" width="5.7265625" style="39" customWidth="1"/>
    <col min="4343" max="4343" width="30.1796875" style="39" customWidth="1"/>
    <col min="4344" max="4345" width="31.7265625" style="39" customWidth="1"/>
    <col min="4346" max="4346" width="103.7265625" style="39" customWidth="1"/>
    <col min="4347" max="4354" width="8.7265625" style="39" customWidth="1"/>
    <col min="4355" max="4578" width="8.7265625" style="39"/>
    <col min="4579" max="4579" width="5" style="39" customWidth="1"/>
    <col min="4580" max="4581" width="8.7265625" style="39" customWidth="1"/>
    <col min="4582" max="4582" width="34.7265625" style="39" customWidth="1"/>
    <col min="4583" max="4583" width="2.7265625" style="39" customWidth="1"/>
    <col min="4584" max="4584" width="3" style="39" customWidth="1"/>
    <col min="4585" max="4589" width="6.7265625" style="39" customWidth="1"/>
    <col min="4590" max="4590" width="6.26953125" style="39" customWidth="1"/>
    <col min="4591" max="4591" width="5.36328125" style="39" customWidth="1"/>
    <col min="4592" max="4592" width="4.54296875" style="39" customWidth="1"/>
    <col min="4593" max="4593" width="3.1796875" style="39" bestFit="1" customWidth="1"/>
    <col min="4594" max="4594" width="3.7265625" style="39" customWidth="1"/>
    <col min="4595" max="4595" width="8.7265625" style="39" customWidth="1"/>
    <col min="4596" max="4596" width="31.7265625" style="39" customWidth="1"/>
    <col min="4597" max="4597" width="23.36328125" style="39" customWidth="1"/>
    <col min="4598" max="4598" width="5.7265625" style="39" customWidth="1"/>
    <col min="4599" max="4599" width="30.1796875" style="39" customWidth="1"/>
    <col min="4600" max="4601" width="31.7265625" style="39" customWidth="1"/>
    <col min="4602" max="4602" width="103.7265625" style="39" customWidth="1"/>
    <col min="4603" max="4610" width="8.7265625" style="39" customWidth="1"/>
    <col min="4611" max="4834" width="8.7265625" style="39"/>
    <col min="4835" max="4835" width="5" style="39" customWidth="1"/>
    <col min="4836" max="4837" width="8.7265625" style="39" customWidth="1"/>
    <col min="4838" max="4838" width="34.7265625" style="39" customWidth="1"/>
    <col min="4839" max="4839" width="2.7265625" style="39" customWidth="1"/>
    <col min="4840" max="4840" width="3" style="39" customWidth="1"/>
    <col min="4841" max="4845" width="6.7265625" style="39" customWidth="1"/>
    <col min="4846" max="4846" width="6.26953125" style="39" customWidth="1"/>
    <col min="4847" max="4847" width="5.36328125" style="39" customWidth="1"/>
    <col min="4848" max="4848" width="4.54296875" style="39" customWidth="1"/>
    <col min="4849" max="4849" width="3.1796875" style="39" bestFit="1" customWidth="1"/>
    <col min="4850" max="4850" width="3.7265625" style="39" customWidth="1"/>
    <col min="4851" max="4851" width="8.7265625" style="39" customWidth="1"/>
    <col min="4852" max="4852" width="31.7265625" style="39" customWidth="1"/>
    <col min="4853" max="4853" width="23.36328125" style="39" customWidth="1"/>
    <col min="4854" max="4854" width="5.7265625" style="39" customWidth="1"/>
    <col min="4855" max="4855" width="30.1796875" style="39" customWidth="1"/>
    <col min="4856" max="4857" width="31.7265625" style="39" customWidth="1"/>
    <col min="4858" max="4858" width="103.7265625" style="39" customWidth="1"/>
    <col min="4859" max="4866" width="8.7265625" style="39" customWidth="1"/>
    <col min="4867" max="5090" width="8.7265625" style="39"/>
    <col min="5091" max="5091" width="5" style="39" customWidth="1"/>
    <col min="5092" max="5093" width="8.7265625" style="39" customWidth="1"/>
    <col min="5094" max="5094" width="34.7265625" style="39" customWidth="1"/>
    <col min="5095" max="5095" width="2.7265625" style="39" customWidth="1"/>
    <col min="5096" max="5096" width="3" style="39" customWidth="1"/>
    <col min="5097" max="5101" width="6.7265625" style="39" customWidth="1"/>
    <col min="5102" max="5102" width="6.26953125" style="39" customWidth="1"/>
    <col min="5103" max="5103" width="5.36328125" style="39" customWidth="1"/>
    <col min="5104" max="5104" width="4.54296875" style="39" customWidth="1"/>
    <col min="5105" max="5105" width="3.1796875" style="39" bestFit="1" customWidth="1"/>
    <col min="5106" max="5106" width="3.7265625" style="39" customWidth="1"/>
    <col min="5107" max="5107" width="8.7265625" style="39" customWidth="1"/>
    <col min="5108" max="5108" width="31.7265625" style="39" customWidth="1"/>
    <col min="5109" max="5109" width="23.36328125" style="39" customWidth="1"/>
    <col min="5110" max="5110" width="5.7265625" style="39" customWidth="1"/>
    <col min="5111" max="5111" width="30.1796875" style="39" customWidth="1"/>
    <col min="5112" max="5113" width="31.7265625" style="39" customWidth="1"/>
    <col min="5114" max="5114" width="103.7265625" style="39" customWidth="1"/>
    <col min="5115" max="5122" width="8.7265625" style="39" customWidth="1"/>
    <col min="5123" max="5346" width="8.7265625" style="39"/>
    <col min="5347" max="5347" width="5" style="39" customWidth="1"/>
    <col min="5348" max="5349" width="8.7265625" style="39" customWidth="1"/>
    <col min="5350" max="5350" width="34.7265625" style="39" customWidth="1"/>
    <col min="5351" max="5351" width="2.7265625" style="39" customWidth="1"/>
    <col min="5352" max="5352" width="3" style="39" customWidth="1"/>
    <col min="5353" max="5357" width="6.7265625" style="39" customWidth="1"/>
    <col min="5358" max="5358" width="6.26953125" style="39" customWidth="1"/>
    <col min="5359" max="5359" width="5.36328125" style="39" customWidth="1"/>
    <col min="5360" max="5360" width="4.54296875" style="39" customWidth="1"/>
    <col min="5361" max="5361" width="3.1796875" style="39" bestFit="1" customWidth="1"/>
    <col min="5362" max="5362" width="3.7265625" style="39" customWidth="1"/>
    <col min="5363" max="5363" width="8.7265625" style="39" customWidth="1"/>
    <col min="5364" max="5364" width="31.7265625" style="39" customWidth="1"/>
    <col min="5365" max="5365" width="23.36328125" style="39" customWidth="1"/>
    <col min="5366" max="5366" width="5.7265625" style="39" customWidth="1"/>
    <col min="5367" max="5367" width="30.1796875" style="39" customWidth="1"/>
    <col min="5368" max="5369" width="31.7265625" style="39" customWidth="1"/>
    <col min="5370" max="5370" width="103.7265625" style="39" customWidth="1"/>
    <col min="5371" max="5378" width="8.7265625" style="39" customWidth="1"/>
    <col min="5379" max="5602" width="8.7265625" style="39"/>
    <col min="5603" max="5603" width="5" style="39" customWidth="1"/>
    <col min="5604" max="5605" width="8.7265625" style="39" customWidth="1"/>
    <col min="5606" max="5606" width="34.7265625" style="39" customWidth="1"/>
    <col min="5607" max="5607" width="2.7265625" style="39" customWidth="1"/>
    <col min="5608" max="5608" width="3" style="39" customWidth="1"/>
    <col min="5609" max="5613" width="6.7265625" style="39" customWidth="1"/>
    <col min="5614" max="5614" width="6.26953125" style="39" customWidth="1"/>
    <col min="5615" max="5615" width="5.36328125" style="39" customWidth="1"/>
    <col min="5616" max="5616" width="4.54296875" style="39" customWidth="1"/>
    <col min="5617" max="5617" width="3.1796875" style="39" bestFit="1" customWidth="1"/>
    <col min="5618" max="5618" width="3.7265625" style="39" customWidth="1"/>
    <col min="5619" max="5619" width="8.7265625" style="39" customWidth="1"/>
    <col min="5620" max="5620" width="31.7265625" style="39" customWidth="1"/>
    <col min="5621" max="5621" width="23.36328125" style="39" customWidth="1"/>
    <col min="5622" max="5622" width="5.7265625" style="39" customWidth="1"/>
    <col min="5623" max="5623" width="30.1796875" style="39" customWidth="1"/>
    <col min="5624" max="5625" width="31.7265625" style="39" customWidth="1"/>
    <col min="5626" max="5626" width="103.7265625" style="39" customWidth="1"/>
    <col min="5627" max="5634" width="8.7265625" style="39" customWidth="1"/>
    <col min="5635" max="5858" width="8.7265625" style="39"/>
    <col min="5859" max="5859" width="5" style="39" customWidth="1"/>
    <col min="5860" max="5861" width="8.7265625" style="39" customWidth="1"/>
    <col min="5862" max="5862" width="34.7265625" style="39" customWidth="1"/>
    <col min="5863" max="5863" width="2.7265625" style="39" customWidth="1"/>
    <col min="5864" max="5864" width="3" style="39" customWidth="1"/>
    <col min="5865" max="5869" width="6.7265625" style="39" customWidth="1"/>
    <col min="5870" max="5870" width="6.26953125" style="39" customWidth="1"/>
    <col min="5871" max="5871" width="5.36328125" style="39" customWidth="1"/>
    <col min="5872" max="5872" width="4.54296875" style="39" customWidth="1"/>
    <col min="5873" max="5873" width="3.1796875" style="39" bestFit="1" customWidth="1"/>
    <col min="5874" max="5874" width="3.7265625" style="39" customWidth="1"/>
    <col min="5875" max="5875" width="8.7265625" style="39" customWidth="1"/>
    <col min="5876" max="5876" width="31.7265625" style="39" customWidth="1"/>
    <col min="5877" max="5877" width="23.36328125" style="39" customWidth="1"/>
    <col min="5878" max="5878" width="5.7265625" style="39" customWidth="1"/>
    <col min="5879" max="5879" width="30.1796875" style="39" customWidth="1"/>
    <col min="5880" max="5881" width="31.7265625" style="39" customWidth="1"/>
    <col min="5882" max="5882" width="103.7265625" style="39" customWidth="1"/>
    <col min="5883" max="5890" width="8.7265625" style="39" customWidth="1"/>
    <col min="5891" max="6114" width="8.7265625" style="39"/>
    <col min="6115" max="6115" width="5" style="39" customWidth="1"/>
    <col min="6116" max="6117" width="8.7265625" style="39" customWidth="1"/>
    <col min="6118" max="6118" width="34.7265625" style="39" customWidth="1"/>
    <col min="6119" max="6119" width="2.7265625" style="39" customWidth="1"/>
    <col min="6120" max="6120" width="3" style="39" customWidth="1"/>
    <col min="6121" max="6125" width="6.7265625" style="39" customWidth="1"/>
    <col min="6126" max="6126" width="6.26953125" style="39" customWidth="1"/>
    <col min="6127" max="6127" width="5.36328125" style="39" customWidth="1"/>
    <col min="6128" max="6128" width="4.54296875" style="39" customWidth="1"/>
    <col min="6129" max="6129" width="3.1796875" style="39" bestFit="1" customWidth="1"/>
    <col min="6130" max="6130" width="3.7265625" style="39" customWidth="1"/>
    <col min="6131" max="6131" width="8.7265625" style="39" customWidth="1"/>
    <col min="6132" max="6132" width="31.7265625" style="39" customWidth="1"/>
    <col min="6133" max="6133" width="23.36328125" style="39" customWidth="1"/>
    <col min="6134" max="6134" width="5.7265625" style="39" customWidth="1"/>
    <col min="6135" max="6135" width="30.1796875" style="39" customWidth="1"/>
    <col min="6136" max="6137" width="31.7265625" style="39" customWidth="1"/>
    <col min="6138" max="6138" width="103.7265625" style="39" customWidth="1"/>
    <col min="6139" max="6146" width="8.7265625" style="39" customWidth="1"/>
    <col min="6147" max="6370" width="8.7265625" style="39"/>
    <col min="6371" max="6371" width="5" style="39" customWidth="1"/>
    <col min="6372" max="6373" width="8.7265625" style="39" customWidth="1"/>
    <col min="6374" max="6374" width="34.7265625" style="39" customWidth="1"/>
    <col min="6375" max="6375" width="2.7265625" style="39" customWidth="1"/>
    <col min="6376" max="6376" width="3" style="39" customWidth="1"/>
    <col min="6377" max="6381" width="6.7265625" style="39" customWidth="1"/>
    <col min="6382" max="6382" width="6.26953125" style="39" customWidth="1"/>
    <col min="6383" max="6383" width="5.36328125" style="39" customWidth="1"/>
    <col min="6384" max="6384" width="4.54296875" style="39" customWidth="1"/>
    <col min="6385" max="6385" width="3.1796875" style="39" bestFit="1" customWidth="1"/>
    <col min="6386" max="6386" width="3.7265625" style="39" customWidth="1"/>
    <col min="6387" max="6387" width="8.7265625" style="39" customWidth="1"/>
    <col min="6388" max="6388" width="31.7265625" style="39" customWidth="1"/>
    <col min="6389" max="6389" width="23.36328125" style="39" customWidth="1"/>
    <col min="6390" max="6390" width="5.7265625" style="39" customWidth="1"/>
    <col min="6391" max="6391" width="30.1796875" style="39" customWidth="1"/>
    <col min="6392" max="6393" width="31.7265625" style="39" customWidth="1"/>
    <col min="6394" max="6394" width="103.7265625" style="39" customWidth="1"/>
    <col min="6395" max="6402" width="8.7265625" style="39" customWidth="1"/>
    <col min="6403" max="6626" width="8.7265625" style="39"/>
    <col min="6627" max="6627" width="5" style="39" customWidth="1"/>
    <col min="6628" max="6629" width="8.7265625" style="39" customWidth="1"/>
    <col min="6630" max="6630" width="34.7265625" style="39" customWidth="1"/>
    <col min="6631" max="6631" width="2.7265625" style="39" customWidth="1"/>
    <col min="6632" max="6632" width="3" style="39" customWidth="1"/>
    <col min="6633" max="6637" width="6.7265625" style="39" customWidth="1"/>
    <col min="6638" max="6638" width="6.26953125" style="39" customWidth="1"/>
    <col min="6639" max="6639" width="5.36328125" style="39" customWidth="1"/>
    <col min="6640" max="6640" width="4.54296875" style="39" customWidth="1"/>
    <col min="6641" max="6641" width="3.1796875" style="39" bestFit="1" customWidth="1"/>
    <col min="6642" max="6642" width="3.7265625" style="39" customWidth="1"/>
    <col min="6643" max="6643" width="8.7265625" style="39" customWidth="1"/>
    <col min="6644" max="6644" width="31.7265625" style="39" customWidth="1"/>
    <col min="6645" max="6645" width="23.36328125" style="39" customWidth="1"/>
    <col min="6646" max="6646" width="5.7265625" style="39" customWidth="1"/>
    <col min="6647" max="6647" width="30.1796875" style="39" customWidth="1"/>
    <col min="6648" max="6649" width="31.7265625" style="39" customWidth="1"/>
    <col min="6650" max="6650" width="103.7265625" style="39" customWidth="1"/>
    <col min="6651" max="6658" width="8.7265625" style="39" customWidth="1"/>
    <col min="6659" max="6882" width="8.7265625" style="39"/>
    <col min="6883" max="6883" width="5" style="39" customWidth="1"/>
    <col min="6884" max="6885" width="8.7265625" style="39" customWidth="1"/>
    <col min="6886" max="6886" width="34.7265625" style="39" customWidth="1"/>
    <col min="6887" max="6887" width="2.7265625" style="39" customWidth="1"/>
    <col min="6888" max="6888" width="3" style="39" customWidth="1"/>
    <col min="6889" max="6893" width="6.7265625" style="39" customWidth="1"/>
    <col min="6894" max="6894" width="6.26953125" style="39" customWidth="1"/>
    <col min="6895" max="6895" width="5.36328125" style="39" customWidth="1"/>
    <col min="6896" max="6896" width="4.54296875" style="39" customWidth="1"/>
    <col min="6897" max="6897" width="3.1796875" style="39" bestFit="1" customWidth="1"/>
    <col min="6898" max="6898" width="3.7265625" style="39" customWidth="1"/>
    <col min="6899" max="6899" width="8.7265625" style="39" customWidth="1"/>
    <col min="6900" max="6900" width="31.7265625" style="39" customWidth="1"/>
    <col min="6901" max="6901" width="23.36328125" style="39" customWidth="1"/>
    <col min="6902" max="6902" width="5.7265625" style="39" customWidth="1"/>
    <col min="6903" max="6903" width="30.1796875" style="39" customWidth="1"/>
    <col min="6904" max="6905" width="31.7265625" style="39" customWidth="1"/>
    <col min="6906" max="6906" width="103.7265625" style="39" customWidth="1"/>
    <col min="6907" max="6914" width="8.7265625" style="39" customWidth="1"/>
    <col min="6915" max="7138" width="8.7265625" style="39"/>
    <col min="7139" max="7139" width="5" style="39" customWidth="1"/>
    <col min="7140" max="7141" width="8.7265625" style="39" customWidth="1"/>
    <col min="7142" max="7142" width="34.7265625" style="39" customWidth="1"/>
    <col min="7143" max="7143" width="2.7265625" style="39" customWidth="1"/>
    <col min="7144" max="7144" width="3" style="39" customWidth="1"/>
    <col min="7145" max="7149" width="6.7265625" style="39" customWidth="1"/>
    <col min="7150" max="7150" width="6.26953125" style="39" customWidth="1"/>
    <col min="7151" max="7151" width="5.36328125" style="39" customWidth="1"/>
    <col min="7152" max="7152" width="4.54296875" style="39" customWidth="1"/>
    <col min="7153" max="7153" width="3.1796875" style="39" bestFit="1" customWidth="1"/>
    <col min="7154" max="7154" width="3.7265625" style="39" customWidth="1"/>
    <col min="7155" max="7155" width="8.7265625" style="39" customWidth="1"/>
    <col min="7156" max="7156" width="31.7265625" style="39" customWidth="1"/>
    <col min="7157" max="7157" width="23.36328125" style="39" customWidth="1"/>
    <col min="7158" max="7158" width="5.7265625" style="39" customWidth="1"/>
    <col min="7159" max="7159" width="30.1796875" style="39" customWidth="1"/>
    <col min="7160" max="7161" width="31.7265625" style="39" customWidth="1"/>
    <col min="7162" max="7162" width="103.7265625" style="39" customWidth="1"/>
    <col min="7163" max="7170" width="8.7265625" style="39" customWidth="1"/>
    <col min="7171" max="7394" width="8.7265625" style="39"/>
    <col min="7395" max="7395" width="5" style="39" customWidth="1"/>
    <col min="7396" max="7397" width="8.7265625" style="39" customWidth="1"/>
    <col min="7398" max="7398" width="34.7265625" style="39" customWidth="1"/>
    <col min="7399" max="7399" width="2.7265625" style="39" customWidth="1"/>
    <col min="7400" max="7400" width="3" style="39" customWidth="1"/>
    <col min="7401" max="7405" width="6.7265625" style="39" customWidth="1"/>
    <col min="7406" max="7406" width="6.26953125" style="39" customWidth="1"/>
    <col min="7407" max="7407" width="5.36328125" style="39" customWidth="1"/>
    <col min="7408" max="7408" width="4.54296875" style="39" customWidth="1"/>
    <col min="7409" max="7409" width="3.1796875" style="39" bestFit="1" customWidth="1"/>
    <col min="7410" max="7410" width="3.7265625" style="39" customWidth="1"/>
    <col min="7411" max="7411" width="8.7265625" style="39" customWidth="1"/>
    <col min="7412" max="7412" width="31.7265625" style="39" customWidth="1"/>
    <col min="7413" max="7413" width="23.36328125" style="39" customWidth="1"/>
    <col min="7414" max="7414" width="5.7265625" style="39" customWidth="1"/>
    <col min="7415" max="7415" width="30.1796875" style="39" customWidth="1"/>
    <col min="7416" max="7417" width="31.7265625" style="39" customWidth="1"/>
    <col min="7418" max="7418" width="103.7265625" style="39" customWidth="1"/>
    <col min="7419" max="7426" width="8.7265625" style="39" customWidth="1"/>
    <col min="7427" max="7650" width="8.7265625" style="39"/>
    <col min="7651" max="7651" width="5" style="39" customWidth="1"/>
    <col min="7652" max="7653" width="8.7265625" style="39" customWidth="1"/>
    <col min="7654" max="7654" width="34.7265625" style="39" customWidth="1"/>
    <col min="7655" max="7655" width="2.7265625" style="39" customWidth="1"/>
    <col min="7656" max="7656" width="3" style="39" customWidth="1"/>
    <col min="7657" max="7661" width="6.7265625" style="39" customWidth="1"/>
    <col min="7662" max="7662" width="6.26953125" style="39" customWidth="1"/>
    <col min="7663" max="7663" width="5.36328125" style="39" customWidth="1"/>
    <col min="7664" max="7664" width="4.54296875" style="39" customWidth="1"/>
    <col min="7665" max="7665" width="3.1796875" style="39" bestFit="1" customWidth="1"/>
    <col min="7666" max="7666" width="3.7265625" style="39" customWidth="1"/>
    <col min="7667" max="7667" width="8.7265625" style="39" customWidth="1"/>
    <col min="7668" max="7668" width="31.7265625" style="39" customWidth="1"/>
    <col min="7669" max="7669" width="23.36328125" style="39" customWidth="1"/>
    <col min="7670" max="7670" width="5.7265625" style="39" customWidth="1"/>
    <col min="7671" max="7671" width="30.1796875" style="39" customWidth="1"/>
    <col min="7672" max="7673" width="31.7265625" style="39" customWidth="1"/>
    <col min="7674" max="7674" width="103.7265625" style="39" customWidth="1"/>
    <col min="7675" max="7682" width="8.7265625" style="39" customWidth="1"/>
    <col min="7683" max="7906" width="8.7265625" style="39"/>
    <col min="7907" max="7907" width="5" style="39" customWidth="1"/>
    <col min="7908" max="7909" width="8.7265625" style="39" customWidth="1"/>
    <col min="7910" max="7910" width="34.7265625" style="39" customWidth="1"/>
    <col min="7911" max="7911" width="2.7265625" style="39" customWidth="1"/>
    <col min="7912" max="7912" width="3" style="39" customWidth="1"/>
    <col min="7913" max="7917" width="6.7265625" style="39" customWidth="1"/>
    <col min="7918" max="7918" width="6.26953125" style="39" customWidth="1"/>
    <col min="7919" max="7919" width="5.36328125" style="39" customWidth="1"/>
    <col min="7920" max="7920" width="4.54296875" style="39" customWidth="1"/>
    <col min="7921" max="7921" width="3.1796875" style="39" bestFit="1" customWidth="1"/>
    <col min="7922" max="7922" width="3.7265625" style="39" customWidth="1"/>
    <col min="7923" max="7923" width="8.7265625" style="39" customWidth="1"/>
    <col min="7924" max="7924" width="31.7265625" style="39" customWidth="1"/>
    <col min="7925" max="7925" width="23.36328125" style="39" customWidth="1"/>
    <col min="7926" max="7926" width="5.7265625" style="39" customWidth="1"/>
    <col min="7927" max="7927" width="30.1796875" style="39" customWidth="1"/>
    <col min="7928" max="7929" width="31.7265625" style="39" customWidth="1"/>
    <col min="7930" max="7930" width="103.7265625" style="39" customWidth="1"/>
    <col min="7931" max="7938" width="8.7265625" style="39" customWidth="1"/>
    <col min="7939" max="8162" width="8.7265625" style="39"/>
    <col min="8163" max="8163" width="5" style="39" customWidth="1"/>
    <col min="8164" max="8165" width="8.7265625" style="39" customWidth="1"/>
    <col min="8166" max="8166" width="34.7265625" style="39" customWidth="1"/>
    <col min="8167" max="8167" width="2.7265625" style="39" customWidth="1"/>
    <col min="8168" max="8168" width="3" style="39" customWidth="1"/>
    <col min="8169" max="8173" width="6.7265625" style="39" customWidth="1"/>
    <col min="8174" max="8174" width="6.26953125" style="39" customWidth="1"/>
    <col min="8175" max="8175" width="5.36328125" style="39" customWidth="1"/>
    <col min="8176" max="8176" width="4.54296875" style="39" customWidth="1"/>
    <col min="8177" max="8177" width="3.1796875" style="39" bestFit="1" customWidth="1"/>
    <col min="8178" max="8178" width="3.7265625" style="39" customWidth="1"/>
    <col min="8179" max="8179" width="8.7265625" style="39" customWidth="1"/>
    <col min="8180" max="8180" width="31.7265625" style="39" customWidth="1"/>
    <col min="8181" max="8181" width="23.36328125" style="39" customWidth="1"/>
    <col min="8182" max="8182" width="5.7265625" style="39" customWidth="1"/>
    <col min="8183" max="8183" width="30.1796875" style="39" customWidth="1"/>
    <col min="8184" max="8185" width="31.7265625" style="39" customWidth="1"/>
    <col min="8186" max="8186" width="103.7265625" style="39" customWidth="1"/>
    <col min="8187" max="8194" width="8.7265625" style="39" customWidth="1"/>
    <col min="8195" max="8418" width="8.7265625" style="39"/>
    <col min="8419" max="8419" width="5" style="39" customWidth="1"/>
    <col min="8420" max="8421" width="8.7265625" style="39" customWidth="1"/>
    <col min="8422" max="8422" width="34.7265625" style="39" customWidth="1"/>
    <col min="8423" max="8423" width="2.7265625" style="39" customWidth="1"/>
    <col min="8424" max="8424" width="3" style="39" customWidth="1"/>
    <col min="8425" max="8429" width="6.7265625" style="39" customWidth="1"/>
    <col min="8430" max="8430" width="6.26953125" style="39" customWidth="1"/>
    <col min="8431" max="8431" width="5.36328125" style="39" customWidth="1"/>
    <col min="8432" max="8432" width="4.54296875" style="39" customWidth="1"/>
    <col min="8433" max="8433" width="3.1796875" style="39" bestFit="1" customWidth="1"/>
    <col min="8434" max="8434" width="3.7265625" style="39" customWidth="1"/>
    <col min="8435" max="8435" width="8.7265625" style="39" customWidth="1"/>
    <col min="8436" max="8436" width="31.7265625" style="39" customWidth="1"/>
    <col min="8437" max="8437" width="23.36328125" style="39" customWidth="1"/>
    <col min="8438" max="8438" width="5.7265625" style="39" customWidth="1"/>
    <col min="8439" max="8439" width="30.1796875" style="39" customWidth="1"/>
    <col min="8440" max="8441" width="31.7265625" style="39" customWidth="1"/>
    <col min="8442" max="8442" width="103.7265625" style="39" customWidth="1"/>
    <col min="8443" max="8450" width="8.7265625" style="39" customWidth="1"/>
    <col min="8451" max="8674" width="8.7265625" style="39"/>
    <col min="8675" max="8675" width="5" style="39" customWidth="1"/>
    <col min="8676" max="8677" width="8.7265625" style="39" customWidth="1"/>
    <col min="8678" max="8678" width="34.7265625" style="39" customWidth="1"/>
    <col min="8679" max="8679" width="2.7265625" style="39" customWidth="1"/>
    <col min="8680" max="8680" width="3" style="39" customWidth="1"/>
    <col min="8681" max="8685" width="6.7265625" style="39" customWidth="1"/>
    <col min="8686" max="8686" width="6.26953125" style="39" customWidth="1"/>
    <col min="8687" max="8687" width="5.36328125" style="39" customWidth="1"/>
    <col min="8688" max="8688" width="4.54296875" style="39" customWidth="1"/>
    <col min="8689" max="8689" width="3.1796875" style="39" bestFit="1" customWidth="1"/>
    <col min="8690" max="8690" width="3.7265625" style="39" customWidth="1"/>
    <col min="8691" max="8691" width="8.7265625" style="39" customWidth="1"/>
    <col min="8692" max="8692" width="31.7265625" style="39" customWidth="1"/>
    <col min="8693" max="8693" width="23.36328125" style="39" customWidth="1"/>
    <col min="8694" max="8694" width="5.7265625" style="39" customWidth="1"/>
    <col min="8695" max="8695" width="30.1796875" style="39" customWidth="1"/>
    <col min="8696" max="8697" width="31.7265625" style="39" customWidth="1"/>
    <col min="8698" max="8698" width="103.7265625" style="39" customWidth="1"/>
    <col min="8699" max="8706" width="8.7265625" style="39" customWidth="1"/>
    <col min="8707" max="8930" width="8.7265625" style="39"/>
    <col min="8931" max="8931" width="5" style="39" customWidth="1"/>
    <col min="8932" max="8933" width="8.7265625" style="39" customWidth="1"/>
    <col min="8934" max="8934" width="34.7265625" style="39" customWidth="1"/>
    <col min="8935" max="8935" width="2.7265625" style="39" customWidth="1"/>
    <col min="8936" max="8936" width="3" style="39" customWidth="1"/>
    <col min="8937" max="8941" width="6.7265625" style="39" customWidth="1"/>
    <col min="8942" max="8942" width="6.26953125" style="39" customWidth="1"/>
    <col min="8943" max="8943" width="5.36328125" style="39" customWidth="1"/>
    <col min="8944" max="8944" width="4.54296875" style="39" customWidth="1"/>
    <col min="8945" max="8945" width="3.1796875" style="39" bestFit="1" customWidth="1"/>
    <col min="8946" max="8946" width="3.7265625" style="39" customWidth="1"/>
    <col min="8947" max="8947" width="8.7265625" style="39" customWidth="1"/>
    <col min="8948" max="8948" width="31.7265625" style="39" customWidth="1"/>
    <col min="8949" max="8949" width="23.36328125" style="39" customWidth="1"/>
    <col min="8950" max="8950" width="5.7265625" style="39" customWidth="1"/>
    <col min="8951" max="8951" width="30.1796875" style="39" customWidth="1"/>
    <col min="8952" max="8953" width="31.7265625" style="39" customWidth="1"/>
    <col min="8954" max="8954" width="103.7265625" style="39" customWidth="1"/>
    <col min="8955" max="8962" width="8.7265625" style="39" customWidth="1"/>
    <col min="8963" max="9186" width="8.7265625" style="39"/>
    <col min="9187" max="9187" width="5" style="39" customWidth="1"/>
    <col min="9188" max="9189" width="8.7265625" style="39" customWidth="1"/>
    <col min="9190" max="9190" width="34.7265625" style="39" customWidth="1"/>
    <col min="9191" max="9191" width="2.7265625" style="39" customWidth="1"/>
    <col min="9192" max="9192" width="3" style="39" customWidth="1"/>
    <col min="9193" max="9197" width="6.7265625" style="39" customWidth="1"/>
    <col min="9198" max="9198" width="6.26953125" style="39" customWidth="1"/>
    <col min="9199" max="9199" width="5.36328125" style="39" customWidth="1"/>
    <col min="9200" max="9200" width="4.54296875" style="39" customWidth="1"/>
    <col min="9201" max="9201" width="3.1796875" style="39" bestFit="1" customWidth="1"/>
    <col min="9202" max="9202" width="3.7265625" style="39" customWidth="1"/>
    <col min="9203" max="9203" width="8.7265625" style="39" customWidth="1"/>
    <col min="9204" max="9204" width="31.7265625" style="39" customWidth="1"/>
    <col min="9205" max="9205" width="23.36328125" style="39" customWidth="1"/>
    <col min="9206" max="9206" width="5.7265625" style="39" customWidth="1"/>
    <col min="9207" max="9207" width="30.1796875" style="39" customWidth="1"/>
    <col min="9208" max="9209" width="31.7265625" style="39" customWidth="1"/>
    <col min="9210" max="9210" width="103.7265625" style="39" customWidth="1"/>
    <col min="9211" max="9218" width="8.7265625" style="39" customWidth="1"/>
    <col min="9219" max="9442" width="8.7265625" style="39"/>
    <col min="9443" max="9443" width="5" style="39" customWidth="1"/>
    <col min="9444" max="9445" width="8.7265625" style="39" customWidth="1"/>
    <col min="9446" max="9446" width="34.7265625" style="39" customWidth="1"/>
    <col min="9447" max="9447" width="2.7265625" style="39" customWidth="1"/>
    <col min="9448" max="9448" width="3" style="39" customWidth="1"/>
    <col min="9449" max="9453" width="6.7265625" style="39" customWidth="1"/>
    <col min="9454" max="9454" width="6.26953125" style="39" customWidth="1"/>
    <col min="9455" max="9455" width="5.36328125" style="39" customWidth="1"/>
    <col min="9456" max="9456" width="4.54296875" style="39" customWidth="1"/>
    <col min="9457" max="9457" width="3.1796875" style="39" bestFit="1" customWidth="1"/>
    <col min="9458" max="9458" width="3.7265625" style="39" customWidth="1"/>
    <col min="9459" max="9459" width="8.7265625" style="39" customWidth="1"/>
    <col min="9460" max="9460" width="31.7265625" style="39" customWidth="1"/>
    <col min="9461" max="9461" width="23.36328125" style="39" customWidth="1"/>
    <col min="9462" max="9462" width="5.7265625" style="39" customWidth="1"/>
    <col min="9463" max="9463" width="30.1796875" style="39" customWidth="1"/>
    <col min="9464" max="9465" width="31.7265625" style="39" customWidth="1"/>
    <col min="9466" max="9466" width="103.7265625" style="39" customWidth="1"/>
    <col min="9467" max="9474" width="8.7265625" style="39" customWidth="1"/>
    <col min="9475" max="9698" width="8.7265625" style="39"/>
    <col min="9699" max="9699" width="5" style="39" customWidth="1"/>
    <col min="9700" max="9701" width="8.7265625" style="39" customWidth="1"/>
    <col min="9702" max="9702" width="34.7265625" style="39" customWidth="1"/>
    <col min="9703" max="9703" width="2.7265625" style="39" customWidth="1"/>
    <col min="9704" max="9704" width="3" style="39" customWidth="1"/>
    <col min="9705" max="9709" width="6.7265625" style="39" customWidth="1"/>
    <col min="9710" max="9710" width="6.26953125" style="39" customWidth="1"/>
    <col min="9711" max="9711" width="5.36328125" style="39" customWidth="1"/>
    <col min="9712" max="9712" width="4.54296875" style="39" customWidth="1"/>
    <col min="9713" max="9713" width="3.1796875" style="39" bestFit="1" customWidth="1"/>
    <col min="9714" max="9714" width="3.7265625" style="39" customWidth="1"/>
    <col min="9715" max="9715" width="8.7265625" style="39" customWidth="1"/>
    <col min="9716" max="9716" width="31.7265625" style="39" customWidth="1"/>
    <col min="9717" max="9717" width="23.36328125" style="39" customWidth="1"/>
    <col min="9718" max="9718" width="5.7265625" style="39" customWidth="1"/>
    <col min="9719" max="9719" width="30.1796875" style="39" customWidth="1"/>
    <col min="9720" max="9721" width="31.7265625" style="39" customWidth="1"/>
    <col min="9722" max="9722" width="103.7265625" style="39" customWidth="1"/>
    <col min="9723" max="9730" width="8.7265625" style="39" customWidth="1"/>
    <col min="9731" max="9954" width="8.7265625" style="39"/>
    <col min="9955" max="9955" width="5" style="39" customWidth="1"/>
    <col min="9956" max="9957" width="8.7265625" style="39" customWidth="1"/>
    <col min="9958" max="9958" width="34.7265625" style="39" customWidth="1"/>
    <col min="9959" max="9959" width="2.7265625" style="39" customWidth="1"/>
    <col min="9960" max="9960" width="3" style="39" customWidth="1"/>
    <col min="9961" max="9965" width="6.7265625" style="39" customWidth="1"/>
    <col min="9966" max="9966" width="6.26953125" style="39" customWidth="1"/>
    <col min="9967" max="9967" width="5.36328125" style="39" customWidth="1"/>
    <col min="9968" max="9968" width="4.54296875" style="39" customWidth="1"/>
    <col min="9969" max="9969" width="3.1796875" style="39" bestFit="1" customWidth="1"/>
    <col min="9970" max="9970" width="3.7265625" style="39" customWidth="1"/>
    <col min="9971" max="9971" width="8.7265625" style="39" customWidth="1"/>
    <col min="9972" max="9972" width="31.7265625" style="39" customWidth="1"/>
    <col min="9973" max="9973" width="23.36328125" style="39" customWidth="1"/>
    <col min="9974" max="9974" width="5.7265625" style="39" customWidth="1"/>
    <col min="9975" max="9975" width="30.1796875" style="39" customWidth="1"/>
    <col min="9976" max="9977" width="31.7265625" style="39" customWidth="1"/>
    <col min="9978" max="9978" width="103.7265625" style="39" customWidth="1"/>
    <col min="9979" max="9986" width="8.7265625" style="39" customWidth="1"/>
    <col min="9987" max="10210" width="8.7265625" style="39"/>
    <col min="10211" max="10211" width="5" style="39" customWidth="1"/>
    <col min="10212" max="10213" width="8.7265625" style="39" customWidth="1"/>
    <col min="10214" max="10214" width="34.7265625" style="39" customWidth="1"/>
    <col min="10215" max="10215" width="2.7265625" style="39" customWidth="1"/>
    <col min="10216" max="10216" width="3" style="39" customWidth="1"/>
    <col min="10217" max="10221" width="6.7265625" style="39" customWidth="1"/>
    <col min="10222" max="10222" width="6.26953125" style="39" customWidth="1"/>
    <col min="10223" max="10223" width="5.36328125" style="39" customWidth="1"/>
    <col min="10224" max="10224" width="4.54296875" style="39" customWidth="1"/>
    <col min="10225" max="10225" width="3.1796875" style="39" bestFit="1" customWidth="1"/>
    <col min="10226" max="10226" width="3.7265625" style="39" customWidth="1"/>
    <col min="10227" max="10227" width="8.7265625" style="39" customWidth="1"/>
    <col min="10228" max="10228" width="31.7265625" style="39" customWidth="1"/>
    <col min="10229" max="10229" width="23.36328125" style="39" customWidth="1"/>
    <col min="10230" max="10230" width="5.7265625" style="39" customWidth="1"/>
    <col min="10231" max="10231" width="30.1796875" style="39" customWidth="1"/>
    <col min="10232" max="10233" width="31.7265625" style="39" customWidth="1"/>
    <col min="10234" max="10234" width="103.7265625" style="39" customWidth="1"/>
    <col min="10235" max="10242" width="8.7265625" style="39" customWidth="1"/>
    <col min="10243" max="10466" width="8.7265625" style="39"/>
    <col min="10467" max="10467" width="5" style="39" customWidth="1"/>
    <col min="10468" max="10469" width="8.7265625" style="39" customWidth="1"/>
    <col min="10470" max="10470" width="34.7265625" style="39" customWidth="1"/>
    <col min="10471" max="10471" width="2.7265625" style="39" customWidth="1"/>
    <col min="10472" max="10472" width="3" style="39" customWidth="1"/>
    <col min="10473" max="10477" width="6.7265625" style="39" customWidth="1"/>
    <col min="10478" max="10478" width="6.26953125" style="39" customWidth="1"/>
    <col min="10479" max="10479" width="5.36328125" style="39" customWidth="1"/>
    <col min="10480" max="10480" width="4.54296875" style="39" customWidth="1"/>
    <col min="10481" max="10481" width="3.1796875" style="39" bestFit="1" customWidth="1"/>
    <col min="10482" max="10482" width="3.7265625" style="39" customWidth="1"/>
    <col min="10483" max="10483" width="8.7265625" style="39" customWidth="1"/>
    <col min="10484" max="10484" width="31.7265625" style="39" customWidth="1"/>
    <col min="10485" max="10485" width="23.36328125" style="39" customWidth="1"/>
    <col min="10486" max="10486" width="5.7265625" style="39" customWidth="1"/>
    <col min="10487" max="10487" width="30.1796875" style="39" customWidth="1"/>
    <col min="10488" max="10489" width="31.7265625" style="39" customWidth="1"/>
    <col min="10490" max="10490" width="103.7265625" style="39" customWidth="1"/>
    <col min="10491" max="10498" width="8.7265625" style="39" customWidth="1"/>
    <col min="10499" max="10722" width="8.7265625" style="39"/>
    <col min="10723" max="10723" width="5" style="39" customWidth="1"/>
    <col min="10724" max="10725" width="8.7265625" style="39" customWidth="1"/>
    <col min="10726" max="10726" width="34.7265625" style="39" customWidth="1"/>
    <col min="10727" max="10727" width="2.7265625" style="39" customWidth="1"/>
    <col min="10728" max="10728" width="3" style="39" customWidth="1"/>
    <col min="10729" max="10733" width="6.7265625" style="39" customWidth="1"/>
    <col min="10734" max="10734" width="6.26953125" style="39" customWidth="1"/>
    <col min="10735" max="10735" width="5.36328125" style="39" customWidth="1"/>
    <col min="10736" max="10736" width="4.54296875" style="39" customWidth="1"/>
    <col min="10737" max="10737" width="3.1796875" style="39" bestFit="1" customWidth="1"/>
    <col min="10738" max="10738" width="3.7265625" style="39" customWidth="1"/>
    <col min="10739" max="10739" width="8.7265625" style="39" customWidth="1"/>
    <col min="10740" max="10740" width="31.7265625" style="39" customWidth="1"/>
    <col min="10741" max="10741" width="23.36328125" style="39" customWidth="1"/>
    <col min="10742" max="10742" width="5.7265625" style="39" customWidth="1"/>
    <col min="10743" max="10743" width="30.1796875" style="39" customWidth="1"/>
    <col min="10744" max="10745" width="31.7265625" style="39" customWidth="1"/>
    <col min="10746" max="10746" width="103.7265625" style="39" customWidth="1"/>
    <col min="10747" max="10754" width="8.7265625" style="39" customWidth="1"/>
    <col min="10755" max="10978" width="8.7265625" style="39"/>
    <col min="10979" max="10979" width="5" style="39" customWidth="1"/>
    <col min="10980" max="10981" width="8.7265625" style="39" customWidth="1"/>
    <col min="10982" max="10982" width="34.7265625" style="39" customWidth="1"/>
    <col min="10983" max="10983" width="2.7265625" style="39" customWidth="1"/>
    <col min="10984" max="10984" width="3" style="39" customWidth="1"/>
    <col min="10985" max="10989" width="6.7265625" style="39" customWidth="1"/>
    <col min="10990" max="10990" width="6.26953125" style="39" customWidth="1"/>
    <col min="10991" max="10991" width="5.36328125" style="39" customWidth="1"/>
    <col min="10992" max="10992" width="4.54296875" style="39" customWidth="1"/>
    <col min="10993" max="10993" width="3.1796875" style="39" bestFit="1" customWidth="1"/>
    <col min="10994" max="10994" width="3.7265625" style="39" customWidth="1"/>
    <col min="10995" max="10995" width="8.7265625" style="39" customWidth="1"/>
    <col min="10996" max="10996" width="31.7265625" style="39" customWidth="1"/>
    <col min="10997" max="10997" width="23.36328125" style="39" customWidth="1"/>
    <col min="10998" max="10998" width="5.7265625" style="39" customWidth="1"/>
    <col min="10999" max="10999" width="30.1796875" style="39" customWidth="1"/>
    <col min="11000" max="11001" width="31.7265625" style="39" customWidth="1"/>
    <col min="11002" max="11002" width="103.7265625" style="39" customWidth="1"/>
    <col min="11003" max="11010" width="8.7265625" style="39" customWidth="1"/>
    <col min="11011" max="11234" width="8.7265625" style="39"/>
    <col min="11235" max="11235" width="5" style="39" customWidth="1"/>
    <col min="11236" max="11237" width="8.7265625" style="39" customWidth="1"/>
    <col min="11238" max="11238" width="34.7265625" style="39" customWidth="1"/>
    <col min="11239" max="11239" width="2.7265625" style="39" customWidth="1"/>
    <col min="11240" max="11240" width="3" style="39" customWidth="1"/>
    <col min="11241" max="11245" width="6.7265625" style="39" customWidth="1"/>
    <col min="11246" max="11246" width="6.26953125" style="39" customWidth="1"/>
    <col min="11247" max="11247" width="5.36328125" style="39" customWidth="1"/>
    <col min="11248" max="11248" width="4.54296875" style="39" customWidth="1"/>
    <col min="11249" max="11249" width="3.1796875" style="39" bestFit="1" customWidth="1"/>
    <col min="11250" max="11250" width="3.7265625" style="39" customWidth="1"/>
    <col min="11251" max="11251" width="8.7265625" style="39" customWidth="1"/>
    <col min="11252" max="11252" width="31.7265625" style="39" customWidth="1"/>
    <col min="11253" max="11253" width="23.36328125" style="39" customWidth="1"/>
    <col min="11254" max="11254" width="5.7265625" style="39" customWidth="1"/>
    <col min="11255" max="11255" width="30.1796875" style="39" customWidth="1"/>
    <col min="11256" max="11257" width="31.7265625" style="39" customWidth="1"/>
    <col min="11258" max="11258" width="103.7265625" style="39" customWidth="1"/>
    <col min="11259" max="11266" width="8.7265625" style="39" customWidth="1"/>
    <col min="11267" max="11490" width="8.7265625" style="39"/>
    <col min="11491" max="11491" width="5" style="39" customWidth="1"/>
    <col min="11492" max="11493" width="8.7265625" style="39" customWidth="1"/>
    <col min="11494" max="11494" width="34.7265625" style="39" customWidth="1"/>
    <col min="11495" max="11495" width="2.7265625" style="39" customWidth="1"/>
    <col min="11496" max="11496" width="3" style="39" customWidth="1"/>
    <col min="11497" max="11501" width="6.7265625" style="39" customWidth="1"/>
    <col min="11502" max="11502" width="6.26953125" style="39" customWidth="1"/>
    <col min="11503" max="11503" width="5.36328125" style="39" customWidth="1"/>
    <col min="11504" max="11504" width="4.54296875" style="39" customWidth="1"/>
    <col min="11505" max="11505" width="3.1796875" style="39" bestFit="1" customWidth="1"/>
    <col min="11506" max="11506" width="3.7265625" style="39" customWidth="1"/>
    <col min="11507" max="11507" width="8.7265625" style="39" customWidth="1"/>
    <col min="11508" max="11508" width="31.7265625" style="39" customWidth="1"/>
    <col min="11509" max="11509" width="23.36328125" style="39" customWidth="1"/>
    <col min="11510" max="11510" width="5.7265625" style="39" customWidth="1"/>
    <col min="11511" max="11511" width="30.1796875" style="39" customWidth="1"/>
    <col min="11512" max="11513" width="31.7265625" style="39" customWidth="1"/>
    <col min="11514" max="11514" width="103.7265625" style="39" customWidth="1"/>
    <col min="11515" max="11522" width="8.7265625" style="39" customWidth="1"/>
    <col min="11523" max="11746" width="8.7265625" style="39"/>
    <col min="11747" max="11747" width="5" style="39" customWidth="1"/>
    <col min="11748" max="11749" width="8.7265625" style="39" customWidth="1"/>
    <col min="11750" max="11750" width="34.7265625" style="39" customWidth="1"/>
    <col min="11751" max="11751" width="2.7265625" style="39" customWidth="1"/>
    <col min="11752" max="11752" width="3" style="39" customWidth="1"/>
    <col min="11753" max="11757" width="6.7265625" style="39" customWidth="1"/>
    <col min="11758" max="11758" width="6.26953125" style="39" customWidth="1"/>
    <col min="11759" max="11759" width="5.36328125" style="39" customWidth="1"/>
    <col min="11760" max="11760" width="4.54296875" style="39" customWidth="1"/>
    <col min="11761" max="11761" width="3.1796875" style="39" bestFit="1" customWidth="1"/>
    <col min="11762" max="11762" width="3.7265625" style="39" customWidth="1"/>
    <col min="11763" max="11763" width="8.7265625" style="39" customWidth="1"/>
    <col min="11764" max="11764" width="31.7265625" style="39" customWidth="1"/>
    <col min="11765" max="11765" width="23.36328125" style="39" customWidth="1"/>
    <col min="11766" max="11766" width="5.7265625" style="39" customWidth="1"/>
    <col min="11767" max="11767" width="30.1796875" style="39" customWidth="1"/>
    <col min="11768" max="11769" width="31.7265625" style="39" customWidth="1"/>
    <col min="11770" max="11770" width="103.7265625" style="39" customWidth="1"/>
    <col min="11771" max="11778" width="8.7265625" style="39" customWidth="1"/>
    <col min="11779" max="12002" width="8.7265625" style="39"/>
    <col min="12003" max="12003" width="5" style="39" customWidth="1"/>
    <col min="12004" max="12005" width="8.7265625" style="39" customWidth="1"/>
    <col min="12006" max="12006" width="34.7265625" style="39" customWidth="1"/>
    <col min="12007" max="12007" width="2.7265625" style="39" customWidth="1"/>
    <col min="12008" max="12008" width="3" style="39" customWidth="1"/>
    <col min="12009" max="12013" width="6.7265625" style="39" customWidth="1"/>
    <col min="12014" max="12014" width="6.26953125" style="39" customWidth="1"/>
    <col min="12015" max="12015" width="5.36328125" style="39" customWidth="1"/>
    <col min="12016" max="12016" width="4.54296875" style="39" customWidth="1"/>
    <col min="12017" max="12017" width="3.1796875" style="39" bestFit="1" customWidth="1"/>
    <col min="12018" max="12018" width="3.7265625" style="39" customWidth="1"/>
    <col min="12019" max="12019" width="8.7265625" style="39" customWidth="1"/>
    <col min="12020" max="12020" width="31.7265625" style="39" customWidth="1"/>
    <col min="12021" max="12021" width="23.36328125" style="39" customWidth="1"/>
    <col min="12022" max="12022" width="5.7265625" style="39" customWidth="1"/>
    <col min="12023" max="12023" width="30.1796875" style="39" customWidth="1"/>
    <col min="12024" max="12025" width="31.7265625" style="39" customWidth="1"/>
    <col min="12026" max="12026" width="103.7265625" style="39" customWidth="1"/>
    <col min="12027" max="12034" width="8.7265625" style="39" customWidth="1"/>
    <col min="12035" max="12258" width="8.7265625" style="39"/>
    <col min="12259" max="12259" width="5" style="39" customWidth="1"/>
    <col min="12260" max="12261" width="8.7265625" style="39" customWidth="1"/>
    <col min="12262" max="12262" width="34.7265625" style="39" customWidth="1"/>
    <col min="12263" max="12263" width="2.7265625" style="39" customWidth="1"/>
    <col min="12264" max="12264" width="3" style="39" customWidth="1"/>
    <col min="12265" max="12269" width="6.7265625" style="39" customWidth="1"/>
    <col min="12270" max="12270" width="6.26953125" style="39" customWidth="1"/>
    <col min="12271" max="12271" width="5.36328125" style="39" customWidth="1"/>
    <col min="12272" max="12272" width="4.54296875" style="39" customWidth="1"/>
    <col min="12273" max="12273" width="3.1796875" style="39" bestFit="1" customWidth="1"/>
    <col min="12274" max="12274" width="3.7265625" style="39" customWidth="1"/>
    <col min="12275" max="12275" width="8.7265625" style="39" customWidth="1"/>
    <col min="12276" max="12276" width="31.7265625" style="39" customWidth="1"/>
    <col min="12277" max="12277" width="23.36328125" style="39" customWidth="1"/>
    <col min="12278" max="12278" width="5.7265625" style="39" customWidth="1"/>
    <col min="12279" max="12279" width="30.1796875" style="39" customWidth="1"/>
    <col min="12280" max="12281" width="31.7265625" style="39" customWidth="1"/>
    <col min="12282" max="12282" width="103.7265625" style="39" customWidth="1"/>
    <col min="12283" max="12290" width="8.7265625" style="39" customWidth="1"/>
    <col min="12291" max="12514" width="8.7265625" style="39"/>
    <col min="12515" max="12515" width="5" style="39" customWidth="1"/>
    <col min="12516" max="12517" width="8.7265625" style="39" customWidth="1"/>
    <col min="12518" max="12518" width="34.7265625" style="39" customWidth="1"/>
    <col min="12519" max="12519" width="2.7265625" style="39" customWidth="1"/>
    <col min="12520" max="12520" width="3" style="39" customWidth="1"/>
    <col min="12521" max="12525" width="6.7265625" style="39" customWidth="1"/>
    <col min="12526" max="12526" width="6.26953125" style="39" customWidth="1"/>
    <col min="12527" max="12527" width="5.36328125" style="39" customWidth="1"/>
    <col min="12528" max="12528" width="4.54296875" style="39" customWidth="1"/>
    <col min="12529" max="12529" width="3.1796875" style="39" bestFit="1" customWidth="1"/>
    <col min="12530" max="12530" width="3.7265625" style="39" customWidth="1"/>
    <col min="12531" max="12531" width="8.7265625" style="39" customWidth="1"/>
    <col min="12532" max="12532" width="31.7265625" style="39" customWidth="1"/>
    <col min="12533" max="12533" width="23.36328125" style="39" customWidth="1"/>
    <col min="12534" max="12534" width="5.7265625" style="39" customWidth="1"/>
    <col min="12535" max="12535" width="30.1796875" style="39" customWidth="1"/>
    <col min="12536" max="12537" width="31.7265625" style="39" customWidth="1"/>
    <col min="12538" max="12538" width="103.7265625" style="39" customWidth="1"/>
    <col min="12539" max="12546" width="8.7265625" style="39" customWidth="1"/>
    <col min="12547" max="12770" width="8.7265625" style="39"/>
    <col min="12771" max="12771" width="5" style="39" customWidth="1"/>
    <col min="12772" max="12773" width="8.7265625" style="39" customWidth="1"/>
    <col min="12774" max="12774" width="34.7265625" style="39" customWidth="1"/>
    <col min="12775" max="12775" width="2.7265625" style="39" customWidth="1"/>
    <col min="12776" max="12776" width="3" style="39" customWidth="1"/>
    <col min="12777" max="12781" width="6.7265625" style="39" customWidth="1"/>
    <col min="12782" max="12782" width="6.26953125" style="39" customWidth="1"/>
    <col min="12783" max="12783" width="5.36328125" style="39" customWidth="1"/>
    <col min="12784" max="12784" width="4.54296875" style="39" customWidth="1"/>
    <col min="12785" max="12785" width="3.1796875" style="39" bestFit="1" customWidth="1"/>
    <col min="12786" max="12786" width="3.7265625" style="39" customWidth="1"/>
    <col min="12787" max="12787" width="8.7265625" style="39" customWidth="1"/>
    <col min="12788" max="12788" width="31.7265625" style="39" customWidth="1"/>
    <col min="12789" max="12789" width="23.36328125" style="39" customWidth="1"/>
    <col min="12790" max="12790" width="5.7265625" style="39" customWidth="1"/>
    <col min="12791" max="12791" width="30.1796875" style="39" customWidth="1"/>
    <col min="12792" max="12793" width="31.7265625" style="39" customWidth="1"/>
    <col min="12794" max="12794" width="103.7265625" style="39" customWidth="1"/>
    <col min="12795" max="12802" width="8.7265625" style="39" customWidth="1"/>
    <col min="12803" max="13026" width="8.7265625" style="39"/>
    <col min="13027" max="13027" width="5" style="39" customWidth="1"/>
    <col min="13028" max="13029" width="8.7265625" style="39" customWidth="1"/>
    <col min="13030" max="13030" width="34.7265625" style="39" customWidth="1"/>
    <col min="13031" max="13031" width="2.7265625" style="39" customWidth="1"/>
    <col min="13032" max="13032" width="3" style="39" customWidth="1"/>
    <col min="13033" max="13037" width="6.7265625" style="39" customWidth="1"/>
    <col min="13038" max="13038" width="6.26953125" style="39" customWidth="1"/>
    <col min="13039" max="13039" width="5.36328125" style="39" customWidth="1"/>
    <col min="13040" max="13040" width="4.54296875" style="39" customWidth="1"/>
    <col min="13041" max="13041" width="3.1796875" style="39" bestFit="1" customWidth="1"/>
    <col min="13042" max="13042" width="3.7265625" style="39" customWidth="1"/>
    <col min="13043" max="13043" width="8.7265625" style="39" customWidth="1"/>
    <col min="13044" max="13044" width="31.7265625" style="39" customWidth="1"/>
    <col min="13045" max="13045" width="23.36328125" style="39" customWidth="1"/>
    <col min="13046" max="13046" width="5.7265625" style="39" customWidth="1"/>
    <col min="13047" max="13047" width="30.1796875" style="39" customWidth="1"/>
    <col min="13048" max="13049" width="31.7265625" style="39" customWidth="1"/>
    <col min="13050" max="13050" width="103.7265625" style="39" customWidth="1"/>
    <col min="13051" max="13058" width="8.7265625" style="39" customWidth="1"/>
    <col min="13059" max="13282" width="8.7265625" style="39"/>
    <col min="13283" max="13283" width="5" style="39" customWidth="1"/>
    <col min="13284" max="13285" width="8.7265625" style="39" customWidth="1"/>
    <col min="13286" max="13286" width="34.7265625" style="39" customWidth="1"/>
    <col min="13287" max="13287" width="2.7265625" style="39" customWidth="1"/>
    <col min="13288" max="13288" width="3" style="39" customWidth="1"/>
    <col min="13289" max="13293" width="6.7265625" style="39" customWidth="1"/>
    <col min="13294" max="13294" width="6.26953125" style="39" customWidth="1"/>
    <col min="13295" max="13295" width="5.36328125" style="39" customWidth="1"/>
    <col min="13296" max="13296" width="4.54296875" style="39" customWidth="1"/>
    <col min="13297" max="13297" width="3.1796875" style="39" bestFit="1" customWidth="1"/>
    <col min="13298" max="13298" width="3.7265625" style="39" customWidth="1"/>
    <col min="13299" max="13299" width="8.7265625" style="39" customWidth="1"/>
    <col min="13300" max="13300" width="31.7265625" style="39" customWidth="1"/>
    <col min="13301" max="13301" width="23.36328125" style="39" customWidth="1"/>
    <col min="13302" max="13302" width="5.7265625" style="39" customWidth="1"/>
    <col min="13303" max="13303" width="30.1796875" style="39" customWidth="1"/>
    <col min="13304" max="13305" width="31.7265625" style="39" customWidth="1"/>
    <col min="13306" max="13306" width="103.7265625" style="39" customWidth="1"/>
    <col min="13307" max="13314" width="8.7265625" style="39" customWidth="1"/>
    <col min="13315" max="13538" width="8.7265625" style="39"/>
    <col min="13539" max="13539" width="5" style="39" customWidth="1"/>
    <col min="13540" max="13541" width="8.7265625" style="39" customWidth="1"/>
    <col min="13542" max="13542" width="34.7265625" style="39" customWidth="1"/>
    <col min="13543" max="13543" width="2.7265625" style="39" customWidth="1"/>
    <col min="13544" max="13544" width="3" style="39" customWidth="1"/>
    <col min="13545" max="13549" width="6.7265625" style="39" customWidth="1"/>
    <col min="13550" max="13550" width="6.26953125" style="39" customWidth="1"/>
    <col min="13551" max="13551" width="5.36328125" style="39" customWidth="1"/>
    <col min="13552" max="13552" width="4.54296875" style="39" customWidth="1"/>
    <col min="13553" max="13553" width="3.1796875" style="39" bestFit="1" customWidth="1"/>
    <col min="13554" max="13554" width="3.7265625" style="39" customWidth="1"/>
    <col min="13555" max="13555" width="8.7265625" style="39" customWidth="1"/>
    <col min="13556" max="13556" width="31.7265625" style="39" customWidth="1"/>
    <col min="13557" max="13557" width="23.36328125" style="39" customWidth="1"/>
    <col min="13558" max="13558" width="5.7265625" style="39" customWidth="1"/>
    <col min="13559" max="13559" width="30.1796875" style="39" customWidth="1"/>
    <col min="13560" max="13561" width="31.7265625" style="39" customWidth="1"/>
    <col min="13562" max="13562" width="103.7265625" style="39" customWidth="1"/>
    <col min="13563" max="13570" width="8.7265625" style="39" customWidth="1"/>
    <col min="13571" max="13794" width="8.7265625" style="39"/>
    <col min="13795" max="13795" width="5" style="39" customWidth="1"/>
    <col min="13796" max="13797" width="8.7265625" style="39" customWidth="1"/>
    <col min="13798" max="13798" width="34.7265625" style="39" customWidth="1"/>
    <col min="13799" max="13799" width="2.7265625" style="39" customWidth="1"/>
    <col min="13800" max="13800" width="3" style="39" customWidth="1"/>
    <col min="13801" max="13805" width="6.7265625" style="39" customWidth="1"/>
    <col min="13806" max="13806" width="6.26953125" style="39" customWidth="1"/>
    <col min="13807" max="13807" width="5.36328125" style="39" customWidth="1"/>
    <col min="13808" max="13808" width="4.54296875" style="39" customWidth="1"/>
    <col min="13809" max="13809" width="3.1796875" style="39" bestFit="1" customWidth="1"/>
    <col min="13810" max="13810" width="3.7265625" style="39" customWidth="1"/>
    <col min="13811" max="13811" width="8.7265625" style="39" customWidth="1"/>
    <col min="13812" max="13812" width="31.7265625" style="39" customWidth="1"/>
    <col min="13813" max="13813" width="23.36328125" style="39" customWidth="1"/>
    <col min="13814" max="13814" width="5.7265625" style="39" customWidth="1"/>
    <col min="13815" max="13815" width="30.1796875" style="39" customWidth="1"/>
    <col min="13816" max="13817" width="31.7265625" style="39" customWidth="1"/>
    <col min="13818" max="13818" width="103.7265625" style="39" customWidth="1"/>
    <col min="13819" max="13826" width="8.7265625" style="39" customWidth="1"/>
    <col min="13827" max="14050" width="8.7265625" style="39"/>
    <col min="14051" max="14051" width="5" style="39" customWidth="1"/>
    <col min="14052" max="14053" width="8.7265625" style="39" customWidth="1"/>
    <col min="14054" max="14054" width="34.7265625" style="39" customWidth="1"/>
    <col min="14055" max="14055" width="2.7265625" style="39" customWidth="1"/>
    <col min="14056" max="14056" width="3" style="39" customWidth="1"/>
    <col min="14057" max="14061" width="6.7265625" style="39" customWidth="1"/>
    <col min="14062" max="14062" width="6.26953125" style="39" customWidth="1"/>
    <col min="14063" max="14063" width="5.36328125" style="39" customWidth="1"/>
    <col min="14064" max="14064" width="4.54296875" style="39" customWidth="1"/>
    <col min="14065" max="14065" width="3.1796875" style="39" bestFit="1" customWidth="1"/>
    <col min="14066" max="14066" width="3.7265625" style="39" customWidth="1"/>
    <col min="14067" max="14067" width="8.7265625" style="39" customWidth="1"/>
    <col min="14068" max="14068" width="31.7265625" style="39" customWidth="1"/>
    <col min="14069" max="14069" width="23.36328125" style="39" customWidth="1"/>
    <col min="14070" max="14070" width="5.7265625" style="39" customWidth="1"/>
    <col min="14071" max="14071" width="30.1796875" style="39" customWidth="1"/>
    <col min="14072" max="14073" width="31.7265625" style="39" customWidth="1"/>
    <col min="14074" max="14074" width="103.7265625" style="39" customWidth="1"/>
    <col min="14075" max="14082" width="8.7265625" style="39" customWidth="1"/>
    <col min="14083" max="14306" width="8.7265625" style="39"/>
    <col min="14307" max="14307" width="5" style="39" customWidth="1"/>
    <col min="14308" max="14309" width="8.7265625" style="39" customWidth="1"/>
    <col min="14310" max="14310" width="34.7265625" style="39" customWidth="1"/>
    <col min="14311" max="14311" width="2.7265625" style="39" customWidth="1"/>
    <col min="14312" max="14312" width="3" style="39" customWidth="1"/>
    <col min="14313" max="14317" width="6.7265625" style="39" customWidth="1"/>
    <col min="14318" max="14318" width="6.26953125" style="39" customWidth="1"/>
    <col min="14319" max="14319" width="5.36328125" style="39" customWidth="1"/>
    <col min="14320" max="14320" width="4.54296875" style="39" customWidth="1"/>
    <col min="14321" max="14321" width="3.1796875" style="39" bestFit="1" customWidth="1"/>
    <col min="14322" max="14322" width="3.7265625" style="39" customWidth="1"/>
    <col min="14323" max="14323" width="8.7265625" style="39" customWidth="1"/>
    <col min="14324" max="14324" width="31.7265625" style="39" customWidth="1"/>
    <col min="14325" max="14325" width="23.36328125" style="39" customWidth="1"/>
    <col min="14326" max="14326" width="5.7265625" style="39" customWidth="1"/>
    <col min="14327" max="14327" width="30.1796875" style="39" customWidth="1"/>
    <col min="14328" max="14329" width="31.7265625" style="39" customWidth="1"/>
    <col min="14330" max="14330" width="103.7265625" style="39" customWidth="1"/>
    <col min="14331" max="14338" width="8.7265625" style="39" customWidth="1"/>
    <col min="14339" max="14562" width="8.7265625" style="39"/>
    <col min="14563" max="14563" width="5" style="39" customWidth="1"/>
    <col min="14564" max="14565" width="8.7265625" style="39" customWidth="1"/>
    <col min="14566" max="14566" width="34.7265625" style="39" customWidth="1"/>
    <col min="14567" max="14567" width="2.7265625" style="39" customWidth="1"/>
    <col min="14568" max="14568" width="3" style="39" customWidth="1"/>
    <col min="14569" max="14573" width="6.7265625" style="39" customWidth="1"/>
    <col min="14574" max="14574" width="6.26953125" style="39" customWidth="1"/>
    <col min="14575" max="14575" width="5.36328125" style="39" customWidth="1"/>
    <col min="14576" max="14576" width="4.54296875" style="39" customWidth="1"/>
    <col min="14577" max="14577" width="3.1796875" style="39" bestFit="1" customWidth="1"/>
    <col min="14578" max="14578" width="3.7265625" style="39" customWidth="1"/>
    <col min="14579" max="14579" width="8.7265625" style="39" customWidth="1"/>
    <col min="14580" max="14580" width="31.7265625" style="39" customWidth="1"/>
    <col min="14581" max="14581" width="23.36328125" style="39" customWidth="1"/>
    <col min="14582" max="14582" width="5.7265625" style="39" customWidth="1"/>
    <col min="14583" max="14583" width="30.1796875" style="39" customWidth="1"/>
    <col min="14584" max="14585" width="31.7265625" style="39" customWidth="1"/>
    <col min="14586" max="14586" width="103.7265625" style="39" customWidth="1"/>
    <col min="14587" max="14594" width="8.7265625" style="39" customWidth="1"/>
    <col min="14595" max="14818" width="8.7265625" style="39"/>
    <col min="14819" max="14819" width="5" style="39" customWidth="1"/>
    <col min="14820" max="14821" width="8.7265625" style="39" customWidth="1"/>
    <col min="14822" max="14822" width="34.7265625" style="39" customWidth="1"/>
    <col min="14823" max="14823" width="2.7265625" style="39" customWidth="1"/>
    <col min="14824" max="14824" width="3" style="39" customWidth="1"/>
    <col min="14825" max="14829" width="6.7265625" style="39" customWidth="1"/>
    <col min="14830" max="14830" width="6.26953125" style="39" customWidth="1"/>
    <col min="14831" max="14831" width="5.36328125" style="39" customWidth="1"/>
    <col min="14832" max="14832" width="4.54296875" style="39" customWidth="1"/>
    <col min="14833" max="14833" width="3.1796875" style="39" bestFit="1" customWidth="1"/>
    <col min="14834" max="14834" width="3.7265625" style="39" customWidth="1"/>
    <col min="14835" max="14835" width="8.7265625" style="39" customWidth="1"/>
    <col min="14836" max="14836" width="31.7265625" style="39" customWidth="1"/>
    <col min="14837" max="14837" width="23.36328125" style="39" customWidth="1"/>
    <col min="14838" max="14838" width="5.7265625" style="39" customWidth="1"/>
    <col min="14839" max="14839" width="30.1796875" style="39" customWidth="1"/>
    <col min="14840" max="14841" width="31.7265625" style="39" customWidth="1"/>
    <col min="14842" max="14842" width="103.7265625" style="39" customWidth="1"/>
    <col min="14843" max="14850" width="8.7265625" style="39" customWidth="1"/>
    <col min="14851" max="15074" width="8.7265625" style="39"/>
    <col min="15075" max="15075" width="5" style="39" customWidth="1"/>
    <col min="15076" max="15077" width="8.7265625" style="39" customWidth="1"/>
    <col min="15078" max="15078" width="34.7265625" style="39" customWidth="1"/>
    <col min="15079" max="15079" width="2.7265625" style="39" customWidth="1"/>
    <col min="15080" max="15080" width="3" style="39" customWidth="1"/>
    <col min="15081" max="15085" width="6.7265625" style="39" customWidth="1"/>
    <col min="15086" max="15086" width="6.26953125" style="39" customWidth="1"/>
    <col min="15087" max="15087" width="5.36328125" style="39" customWidth="1"/>
    <col min="15088" max="15088" width="4.54296875" style="39" customWidth="1"/>
    <col min="15089" max="15089" width="3.1796875" style="39" bestFit="1" customWidth="1"/>
    <col min="15090" max="15090" width="3.7265625" style="39" customWidth="1"/>
    <col min="15091" max="15091" width="8.7265625" style="39" customWidth="1"/>
    <col min="15092" max="15092" width="31.7265625" style="39" customWidth="1"/>
    <col min="15093" max="15093" width="23.36328125" style="39" customWidth="1"/>
    <col min="15094" max="15094" width="5.7265625" style="39" customWidth="1"/>
    <col min="15095" max="15095" width="30.1796875" style="39" customWidth="1"/>
    <col min="15096" max="15097" width="31.7265625" style="39" customWidth="1"/>
    <col min="15098" max="15098" width="103.7265625" style="39" customWidth="1"/>
    <col min="15099" max="15106" width="8.7265625" style="39" customWidth="1"/>
    <col min="15107" max="15330" width="8.7265625" style="39"/>
    <col min="15331" max="15331" width="5" style="39" customWidth="1"/>
    <col min="15332" max="15333" width="8.7265625" style="39" customWidth="1"/>
    <col min="15334" max="15334" width="34.7265625" style="39" customWidth="1"/>
    <col min="15335" max="15335" width="2.7265625" style="39" customWidth="1"/>
    <col min="15336" max="15336" width="3" style="39" customWidth="1"/>
    <col min="15337" max="15341" width="6.7265625" style="39" customWidth="1"/>
    <col min="15342" max="15342" width="6.26953125" style="39" customWidth="1"/>
    <col min="15343" max="15343" width="5.36328125" style="39" customWidth="1"/>
    <col min="15344" max="15344" width="4.54296875" style="39" customWidth="1"/>
    <col min="15345" max="15345" width="3.1796875" style="39" bestFit="1" customWidth="1"/>
    <col min="15346" max="15346" width="3.7265625" style="39" customWidth="1"/>
    <col min="15347" max="15347" width="8.7265625" style="39" customWidth="1"/>
    <col min="15348" max="15348" width="31.7265625" style="39" customWidth="1"/>
    <col min="15349" max="15349" width="23.36328125" style="39" customWidth="1"/>
    <col min="15350" max="15350" width="5.7265625" style="39" customWidth="1"/>
    <col min="15351" max="15351" width="30.1796875" style="39" customWidth="1"/>
    <col min="15352" max="15353" width="31.7265625" style="39" customWidth="1"/>
    <col min="15354" max="15354" width="103.7265625" style="39" customWidth="1"/>
    <col min="15355" max="15362" width="8.7265625" style="39" customWidth="1"/>
    <col min="15363" max="15586" width="8.7265625" style="39"/>
    <col min="15587" max="15587" width="5" style="39" customWidth="1"/>
    <col min="15588" max="15589" width="8.7265625" style="39" customWidth="1"/>
    <col min="15590" max="15590" width="34.7265625" style="39" customWidth="1"/>
    <col min="15591" max="15591" width="2.7265625" style="39" customWidth="1"/>
    <col min="15592" max="15592" width="3" style="39" customWidth="1"/>
    <col min="15593" max="15597" width="6.7265625" style="39" customWidth="1"/>
    <col min="15598" max="15598" width="6.26953125" style="39" customWidth="1"/>
    <col min="15599" max="15599" width="5.36328125" style="39" customWidth="1"/>
    <col min="15600" max="15600" width="4.54296875" style="39" customWidth="1"/>
    <col min="15601" max="15601" width="3.1796875" style="39" bestFit="1" customWidth="1"/>
    <col min="15602" max="15602" width="3.7265625" style="39" customWidth="1"/>
    <col min="15603" max="15603" width="8.7265625" style="39" customWidth="1"/>
    <col min="15604" max="15604" width="31.7265625" style="39" customWidth="1"/>
    <col min="15605" max="15605" width="23.36328125" style="39" customWidth="1"/>
    <col min="15606" max="15606" width="5.7265625" style="39" customWidth="1"/>
    <col min="15607" max="15607" width="30.1796875" style="39" customWidth="1"/>
    <col min="15608" max="15609" width="31.7265625" style="39" customWidth="1"/>
    <col min="15610" max="15610" width="103.7265625" style="39" customWidth="1"/>
    <col min="15611" max="15618" width="8.7265625" style="39" customWidth="1"/>
    <col min="15619" max="15842" width="8.7265625" style="39"/>
    <col min="15843" max="15843" width="5" style="39" customWidth="1"/>
    <col min="15844" max="15845" width="8.7265625" style="39" customWidth="1"/>
    <col min="15846" max="15846" width="34.7265625" style="39" customWidth="1"/>
    <col min="15847" max="15847" width="2.7265625" style="39" customWidth="1"/>
    <col min="15848" max="15848" width="3" style="39" customWidth="1"/>
    <col min="15849" max="15853" width="6.7265625" style="39" customWidth="1"/>
    <col min="15854" max="15854" width="6.26953125" style="39" customWidth="1"/>
    <col min="15855" max="15855" width="5.36328125" style="39" customWidth="1"/>
    <col min="15856" max="15856" width="4.54296875" style="39" customWidth="1"/>
    <col min="15857" max="15857" width="3.1796875" style="39" bestFit="1" customWidth="1"/>
    <col min="15858" max="15858" width="3.7265625" style="39" customWidth="1"/>
    <col min="15859" max="15859" width="8.7265625" style="39" customWidth="1"/>
    <col min="15860" max="15860" width="31.7265625" style="39" customWidth="1"/>
    <col min="15861" max="15861" width="23.36328125" style="39" customWidth="1"/>
    <col min="15862" max="15862" width="5.7265625" style="39" customWidth="1"/>
    <col min="15863" max="15863" width="30.1796875" style="39" customWidth="1"/>
    <col min="15864" max="15865" width="31.7265625" style="39" customWidth="1"/>
    <col min="15866" max="15866" width="103.7265625" style="39" customWidth="1"/>
    <col min="15867" max="15874" width="8.7265625" style="39" customWidth="1"/>
    <col min="15875" max="16098" width="8.7265625" style="39"/>
    <col min="16099" max="16099" width="5" style="39" customWidth="1"/>
    <col min="16100" max="16101" width="8.7265625" style="39" customWidth="1"/>
    <col min="16102" max="16102" width="34.7265625" style="39" customWidth="1"/>
    <col min="16103" max="16103" width="2.7265625" style="39" customWidth="1"/>
    <col min="16104" max="16104" width="3" style="39" customWidth="1"/>
    <col min="16105" max="16109" width="6.7265625" style="39" customWidth="1"/>
    <col min="16110" max="16110" width="6.26953125" style="39" customWidth="1"/>
    <col min="16111" max="16111" width="5.36328125" style="39" customWidth="1"/>
    <col min="16112" max="16112" width="4.54296875" style="39" customWidth="1"/>
    <col min="16113" max="16113" width="3.1796875" style="39" bestFit="1" customWidth="1"/>
    <col min="16114" max="16114" width="3.7265625" style="39" customWidth="1"/>
    <col min="16115" max="16115" width="8.7265625" style="39" customWidth="1"/>
    <col min="16116" max="16116" width="31.7265625" style="39" customWidth="1"/>
    <col min="16117" max="16117" width="23.36328125" style="39" customWidth="1"/>
    <col min="16118" max="16118" width="5.7265625" style="39" customWidth="1"/>
    <col min="16119" max="16119" width="30.1796875" style="39" customWidth="1"/>
    <col min="16120" max="16121" width="31.7265625" style="39" customWidth="1"/>
    <col min="16122" max="16122" width="103.7265625" style="39" customWidth="1"/>
    <col min="16123" max="16130" width="8.7265625" style="39" customWidth="1"/>
    <col min="16131" max="16384" width="8.7265625" style="39"/>
  </cols>
  <sheetData>
    <row r="1" spans="1:21" s="15" customFormat="1" ht="24" hidden="1" customHeight="1" x14ac:dyDescent="0.35">
      <c r="A1" s="4">
        <v>0</v>
      </c>
      <c r="B1" s="5" t="s">
        <v>3</v>
      </c>
      <c r="C1" s="6"/>
      <c r="D1" s="7"/>
      <c r="E1" s="8"/>
      <c r="F1" s="8"/>
      <c r="G1" s="10"/>
      <c r="H1" s="9"/>
      <c r="I1" s="10"/>
      <c r="J1" s="11"/>
      <c r="K1" s="11"/>
      <c r="L1" s="11"/>
      <c r="M1" s="12"/>
      <c r="N1" s="12"/>
      <c r="O1" s="13"/>
      <c r="P1" s="6"/>
      <c r="Q1" s="6"/>
      <c r="R1" s="14"/>
    </row>
    <row r="2" spans="1:21" s="24" customFormat="1" ht="16.25" hidden="1" customHeight="1" x14ac:dyDescent="0.35">
      <c r="A2" s="16">
        <v>0</v>
      </c>
      <c r="B2" s="17"/>
      <c r="C2" s="16"/>
      <c r="D2" s="17"/>
      <c r="E2" s="16"/>
      <c r="F2" s="16"/>
      <c r="G2" s="19"/>
      <c r="H2" s="18" t="s">
        <v>4</v>
      </c>
      <c r="I2" s="19"/>
      <c r="J2" s="20"/>
      <c r="K2" s="20"/>
      <c r="L2" s="20" t="s">
        <v>5</v>
      </c>
      <c r="M2" s="21"/>
      <c r="N2" s="21"/>
      <c r="O2" s="22"/>
      <c r="P2" s="16" t="s">
        <v>6</v>
      </c>
      <c r="Q2" s="63"/>
      <c r="R2" s="23" t="s">
        <v>7</v>
      </c>
      <c r="S2" s="24" t="s">
        <v>8</v>
      </c>
    </row>
    <row r="3" spans="1:21" s="33" customFormat="1" ht="49.5" hidden="1" customHeight="1" x14ac:dyDescent="0.35">
      <c r="A3" s="25" t="s">
        <v>9</v>
      </c>
      <c r="B3" s="26" t="s">
        <v>10</v>
      </c>
      <c r="C3" s="27" t="s">
        <v>11</v>
      </c>
      <c r="D3" s="26"/>
      <c r="E3" s="27"/>
      <c r="F3" s="27"/>
      <c r="G3" s="29" t="s">
        <v>16</v>
      </c>
      <c r="H3" s="28" t="s">
        <v>12</v>
      </c>
      <c r="I3" s="29" t="s">
        <v>15</v>
      </c>
      <c r="J3" s="30" t="s">
        <v>13</v>
      </c>
      <c r="K3" s="30" t="s">
        <v>14</v>
      </c>
      <c r="L3" s="30" t="s">
        <v>17</v>
      </c>
      <c r="M3" s="29" t="s">
        <v>18</v>
      </c>
      <c r="N3" s="29" t="s">
        <v>19</v>
      </c>
      <c r="O3" s="29" t="s">
        <v>20</v>
      </c>
      <c r="P3" s="27" t="s">
        <v>21</v>
      </c>
      <c r="Q3" s="64"/>
      <c r="R3" s="31"/>
      <c r="S3" s="32">
        <v>41968</v>
      </c>
      <c r="T3" s="33" t="s">
        <v>22</v>
      </c>
    </row>
    <row r="4" spans="1:21" s="15" customFormat="1" ht="24" customHeight="1" x14ac:dyDescent="0.35">
      <c r="A4" s="4">
        <v>0</v>
      </c>
      <c r="B4" s="7"/>
      <c r="C4" s="8"/>
      <c r="D4" s="113" t="s">
        <v>151</v>
      </c>
      <c r="E4" s="114"/>
      <c r="F4" s="114"/>
      <c r="G4" s="115"/>
      <c r="H4" s="116"/>
      <c r="I4" s="115"/>
      <c r="J4" s="117"/>
      <c r="K4" s="117"/>
      <c r="L4" s="117"/>
      <c r="M4" s="118"/>
      <c r="N4" s="118"/>
      <c r="O4" s="119"/>
      <c r="P4" s="114"/>
      <c r="Q4" s="114"/>
      <c r="R4" s="120"/>
      <c r="S4" s="121"/>
      <c r="T4" s="121"/>
      <c r="U4" s="121"/>
    </row>
    <row r="5" spans="1:21" s="33" customFormat="1" ht="52.5" customHeight="1" x14ac:dyDescent="0.35">
      <c r="A5" s="34" t="s">
        <v>9</v>
      </c>
      <c r="B5" s="35" t="s">
        <v>10</v>
      </c>
      <c r="C5" s="72"/>
      <c r="D5" s="246" t="s">
        <v>152</v>
      </c>
      <c r="E5" s="168" t="s">
        <v>11</v>
      </c>
      <c r="F5" s="168" t="s">
        <v>86</v>
      </c>
      <c r="G5" s="247" t="s">
        <v>153</v>
      </c>
      <c r="H5" s="248" t="s">
        <v>154</v>
      </c>
      <c r="I5" s="247" t="s">
        <v>155</v>
      </c>
      <c r="J5" s="166" t="s">
        <v>156</v>
      </c>
      <c r="K5" s="166" t="s">
        <v>157</v>
      </c>
      <c r="L5" s="167" t="s">
        <v>158</v>
      </c>
      <c r="M5" s="122" t="s">
        <v>23</v>
      </c>
      <c r="N5" s="122" t="s">
        <v>24</v>
      </c>
      <c r="O5" s="122" t="s">
        <v>25</v>
      </c>
      <c r="P5" s="123" t="s">
        <v>21</v>
      </c>
      <c r="Q5" s="124"/>
      <c r="R5" s="125"/>
      <c r="S5" s="126" t="s">
        <v>26</v>
      </c>
      <c r="T5" s="126"/>
      <c r="U5" s="126"/>
    </row>
    <row r="6" spans="1:21" s="38" customFormat="1" ht="18" customHeight="1" x14ac:dyDescent="0.35">
      <c r="A6" s="36">
        <v>0</v>
      </c>
      <c r="B6" s="37" t="s">
        <v>27</v>
      </c>
      <c r="C6" s="73"/>
      <c r="D6" s="169" t="s">
        <v>160</v>
      </c>
      <c r="E6" s="170"/>
      <c r="F6" s="170"/>
      <c r="G6" s="171"/>
      <c r="H6" s="172"/>
      <c r="I6" s="171"/>
      <c r="J6" s="173"/>
      <c r="K6" s="173"/>
      <c r="L6" s="174"/>
      <c r="M6" s="127"/>
      <c r="N6" s="128"/>
      <c r="O6" s="128"/>
      <c r="P6" s="129"/>
      <c r="Q6" s="130"/>
      <c r="R6" s="131"/>
      <c r="S6" s="132"/>
      <c r="T6" s="132"/>
      <c r="U6" s="132"/>
    </row>
    <row r="7" spans="1:21" s="40" customFormat="1" ht="14.5" x14ac:dyDescent="0.35">
      <c r="A7" s="66">
        <v>102</v>
      </c>
      <c r="B7" s="69" t="s">
        <v>41</v>
      </c>
      <c r="C7" s="70" t="s">
        <v>28</v>
      </c>
      <c r="D7" s="175" t="s">
        <v>177</v>
      </c>
      <c r="E7" s="176" t="s">
        <v>28</v>
      </c>
      <c r="F7" s="177">
        <v>3</v>
      </c>
      <c r="G7" s="178">
        <v>2.2400000000000002</v>
      </c>
      <c r="H7" s="179">
        <f t="shared" ref="H7:H20" si="0">IF(F7="","",VLOOKUP(F7,F$45:H$65,3,FALSE)*G7)</f>
        <v>41.955200000000005</v>
      </c>
      <c r="I7" s="180">
        <f t="shared" ref="I7:I20" si="1">IF(G7="","",G7*H$65+H7)</f>
        <v>53.155200000000008</v>
      </c>
      <c r="J7" s="181">
        <v>40.909999999999997</v>
      </c>
      <c r="K7" s="182">
        <v>115</v>
      </c>
      <c r="L7" s="183">
        <v>320</v>
      </c>
      <c r="M7" s="133"/>
      <c r="N7" s="133"/>
      <c r="O7" s="133"/>
      <c r="P7" s="134">
        <v>1</v>
      </c>
      <c r="Q7" s="135">
        <f>A7</f>
        <v>102</v>
      </c>
      <c r="R7" s="136" t="s">
        <v>29</v>
      </c>
      <c r="S7" s="137">
        <v>4023</v>
      </c>
      <c r="T7" s="132"/>
      <c r="U7" s="137"/>
    </row>
    <row r="8" spans="1:21" s="40" customFormat="1" ht="14.5" x14ac:dyDescent="0.35">
      <c r="A8" s="66" t="s">
        <v>50</v>
      </c>
      <c r="B8" s="68" t="s">
        <v>55</v>
      </c>
      <c r="C8" s="71" t="s">
        <v>28</v>
      </c>
      <c r="D8" s="184" t="s">
        <v>178</v>
      </c>
      <c r="E8" s="185" t="s">
        <v>28</v>
      </c>
      <c r="F8" s="186" t="s">
        <v>91</v>
      </c>
      <c r="G8" s="178">
        <v>0.77</v>
      </c>
      <c r="H8" s="179">
        <f t="shared" si="0"/>
        <v>17.7562</v>
      </c>
      <c r="I8" s="180">
        <f t="shared" si="1"/>
        <v>21.606200000000001</v>
      </c>
      <c r="J8" s="187">
        <v>8.89</v>
      </c>
      <c r="K8" s="188">
        <v>39</v>
      </c>
      <c r="L8" s="189">
        <v>140</v>
      </c>
      <c r="M8" s="133">
        <v>0</v>
      </c>
      <c r="N8" s="133"/>
      <c r="O8" s="133"/>
      <c r="P8" s="134">
        <v>1</v>
      </c>
      <c r="Q8" s="135" t="str">
        <f>A8</f>
        <v>A</v>
      </c>
      <c r="R8" s="136" t="s">
        <v>48</v>
      </c>
      <c r="S8" s="137" t="s">
        <v>49</v>
      </c>
      <c r="T8" s="132"/>
      <c r="U8" s="137"/>
    </row>
    <row r="9" spans="1:21" s="40" customFormat="1" ht="14.5" x14ac:dyDescent="0.35">
      <c r="A9" s="66">
        <v>103</v>
      </c>
      <c r="B9" s="69" t="s">
        <v>42</v>
      </c>
      <c r="C9" s="71" t="s">
        <v>28</v>
      </c>
      <c r="D9" s="175" t="s">
        <v>179</v>
      </c>
      <c r="E9" s="185" t="s">
        <v>28</v>
      </c>
      <c r="F9" s="186" t="s">
        <v>89</v>
      </c>
      <c r="G9" s="178">
        <v>1.06</v>
      </c>
      <c r="H9" s="179">
        <f t="shared" si="0"/>
        <v>16.864599999999999</v>
      </c>
      <c r="I9" s="180">
        <f t="shared" si="1"/>
        <v>22.1646</v>
      </c>
      <c r="J9" s="187">
        <v>6.69</v>
      </c>
      <c r="K9" s="188">
        <v>39</v>
      </c>
      <c r="L9" s="189">
        <v>140</v>
      </c>
      <c r="M9" s="133"/>
      <c r="N9" s="133"/>
      <c r="O9" s="133"/>
      <c r="P9" s="134">
        <v>1</v>
      </c>
      <c r="Q9" s="135">
        <f t="shared" ref="Q9:Q29" si="2">A9</f>
        <v>103</v>
      </c>
      <c r="R9" s="136" t="s">
        <v>29</v>
      </c>
      <c r="S9" s="137">
        <v>4005</v>
      </c>
      <c r="T9" s="132"/>
      <c r="U9" s="137"/>
    </row>
    <row r="10" spans="1:21" s="40" customFormat="1" ht="14.5" x14ac:dyDescent="0.35">
      <c r="A10" s="66">
        <v>104</v>
      </c>
      <c r="B10" s="69" t="s">
        <v>43</v>
      </c>
      <c r="C10" s="71" t="s">
        <v>28</v>
      </c>
      <c r="D10" s="175" t="s">
        <v>180</v>
      </c>
      <c r="E10" s="185" t="s">
        <v>28</v>
      </c>
      <c r="F10" s="186" t="s">
        <v>89</v>
      </c>
      <c r="G10" s="178">
        <v>0.93</v>
      </c>
      <c r="H10" s="179">
        <f t="shared" si="0"/>
        <v>14.7963</v>
      </c>
      <c r="I10" s="180">
        <f t="shared" si="1"/>
        <v>19.446300000000001</v>
      </c>
      <c r="J10" s="187">
        <v>10.8</v>
      </c>
      <c r="K10" s="188">
        <v>45</v>
      </c>
      <c r="L10" s="189">
        <v>140</v>
      </c>
      <c r="M10" s="133"/>
      <c r="N10" s="133"/>
      <c r="O10" s="133"/>
      <c r="P10" s="134">
        <v>1</v>
      </c>
      <c r="Q10" s="135">
        <f t="shared" si="2"/>
        <v>104</v>
      </c>
      <c r="R10" s="136" t="s">
        <v>29</v>
      </c>
      <c r="S10" s="137">
        <v>4038</v>
      </c>
      <c r="T10" s="132"/>
      <c r="U10" s="137"/>
    </row>
    <row r="11" spans="1:21" s="40" customFormat="1" ht="14.5" x14ac:dyDescent="0.35">
      <c r="A11" s="66" t="s">
        <v>39</v>
      </c>
      <c r="B11" s="68" t="s">
        <v>56</v>
      </c>
      <c r="C11" s="71" t="s">
        <v>28</v>
      </c>
      <c r="D11" s="184" t="s">
        <v>181</v>
      </c>
      <c r="E11" s="185" t="s">
        <v>28</v>
      </c>
      <c r="F11" s="186" t="s">
        <v>91</v>
      </c>
      <c r="G11" s="178">
        <v>0.83</v>
      </c>
      <c r="H11" s="179">
        <f t="shared" si="0"/>
        <v>19.139799999999997</v>
      </c>
      <c r="I11" s="180">
        <f t="shared" si="1"/>
        <v>23.289799999999996</v>
      </c>
      <c r="J11" s="187">
        <v>10.94</v>
      </c>
      <c r="K11" s="188">
        <v>35</v>
      </c>
      <c r="L11" s="189">
        <v>70</v>
      </c>
      <c r="M11" s="133"/>
      <c r="N11" s="133"/>
      <c r="O11" s="133"/>
      <c r="P11" s="134">
        <v>1</v>
      </c>
      <c r="Q11" s="135" t="str">
        <f>A11</f>
        <v>B</v>
      </c>
      <c r="R11" s="136" t="s">
        <v>48</v>
      </c>
      <c r="S11" s="137" t="s">
        <v>52</v>
      </c>
      <c r="T11" s="132"/>
      <c r="U11" s="137"/>
    </row>
    <row r="12" spans="1:21" s="40" customFormat="1" ht="14.5" x14ac:dyDescent="0.35">
      <c r="A12" s="66" t="s">
        <v>51</v>
      </c>
      <c r="B12" s="69" t="s">
        <v>57</v>
      </c>
      <c r="C12" s="71" t="s">
        <v>28</v>
      </c>
      <c r="D12" s="175" t="s">
        <v>182</v>
      </c>
      <c r="E12" s="185" t="s">
        <v>28</v>
      </c>
      <c r="F12" s="186" t="s">
        <v>91</v>
      </c>
      <c r="G12" s="178">
        <v>0.85714285714285698</v>
      </c>
      <c r="H12" s="179">
        <f t="shared" si="0"/>
        <v>19.765714285714282</v>
      </c>
      <c r="I12" s="180">
        <f t="shared" si="1"/>
        <v>24.051428571428566</v>
      </c>
      <c r="J12" s="187">
        <v>18.18</v>
      </c>
      <c r="K12" s="188">
        <v>67</v>
      </c>
      <c r="L12" s="189">
        <v>130</v>
      </c>
      <c r="M12" s="133"/>
      <c r="N12" s="133"/>
      <c r="O12" s="133"/>
      <c r="P12" s="134">
        <v>1</v>
      </c>
      <c r="Q12" s="135" t="str">
        <f>A12</f>
        <v>C</v>
      </c>
      <c r="R12" s="136" t="s">
        <v>48</v>
      </c>
      <c r="S12" s="137" t="s">
        <v>121</v>
      </c>
      <c r="T12" s="132"/>
      <c r="U12" s="137"/>
    </row>
    <row r="13" spans="1:21" s="40" customFormat="1" ht="14.5" x14ac:dyDescent="0.35">
      <c r="A13" s="66">
        <v>105</v>
      </c>
      <c r="B13" s="69" t="s">
        <v>44</v>
      </c>
      <c r="C13" s="71" t="s">
        <v>28</v>
      </c>
      <c r="D13" s="175" t="s">
        <v>183</v>
      </c>
      <c r="E13" s="185" t="s">
        <v>28</v>
      </c>
      <c r="F13" s="186" t="s">
        <v>89</v>
      </c>
      <c r="G13" s="178">
        <v>0.77</v>
      </c>
      <c r="H13" s="179">
        <f t="shared" si="0"/>
        <v>12.2507</v>
      </c>
      <c r="I13" s="180">
        <f t="shared" si="1"/>
        <v>16.1007</v>
      </c>
      <c r="J13" s="187">
        <v>14.7</v>
      </c>
      <c r="K13" s="188">
        <v>90</v>
      </c>
      <c r="L13" s="189">
        <v>170</v>
      </c>
      <c r="M13" s="133"/>
      <c r="N13" s="133"/>
      <c r="O13" s="133"/>
      <c r="P13" s="134">
        <v>1</v>
      </c>
      <c r="Q13" s="135">
        <f t="shared" si="2"/>
        <v>105</v>
      </c>
      <c r="R13" s="136" t="s">
        <v>29</v>
      </c>
      <c r="S13" s="137">
        <v>4033</v>
      </c>
      <c r="T13" s="132"/>
      <c r="U13" s="137"/>
    </row>
    <row r="14" spans="1:21" s="40" customFormat="1" ht="14.5" x14ac:dyDescent="0.35">
      <c r="A14" s="66">
        <v>106</v>
      </c>
      <c r="B14" s="69" t="s">
        <v>45</v>
      </c>
      <c r="C14" s="71" t="s">
        <v>28</v>
      </c>
      <c r="D14" s="175" t="s">
        <v>184</v>
      </c>
      <c r="E14" s="185" t="s">
        <v>28</v>
      </c>
      <c r="F14" s="186" t="s">
        <v>89</v>
      </c>
      <c r="G14" s="178">
        <v>1.23</v>
      </c>
      <c r="H14" s="179">
        <f t="shared" si="0"/>
        <v>19.569299999999998</v>
      </c>
      <c r="I14" s="180">
        <f t="shared" si="1"/>
        <v>25.719299999999997</v>
      </c>
      <c r="J14" s="187">
        <v>21</v>
      </c>
      <c r="K14" s="188">
        <v>94</v>
      </c>
      <c r="L14" s="189">
        <v>210</v>
      </c>
      <c r="M14" s="133"/>
      <c r="N14" s="133"/>
      <c r="O14" s="133"/>
      <c r="P14" s="134">
        <v>1</v>
      </c>
      <c r="Q14" s="135">
        <f t="shared" si="2"/>
        <v>106</v>
      </c>
      <c r="R14" s="136" t="s">
        <v>29</v>
      </c>
      <c r="S14" s="137">
        <v>4056</v>
      </c>
      <c r="T14" s="132"/>
      <c r="U14" s="137"/>
    </row>
    <row r="15" spans="1:21" s="40" customFormat="1" ht="14.5" x14ac:dyDescent="0.35">
      <c r="A15" s="66">
        <v>108</v>
      </c>
      <c r="B15" s="69" t="s">
        <v>46</v>
      </c>
      <c r="C15" s="71" t="s">
        <v>28</v>
      </c>
      <c r="D15" s="175" t="s">
        <v>185</v>
      </c>
      <c r="E15" s="185" t="s">
        <v>28</v>
      </c>
      <c r="F15" s="186" t="s">
        <v>88</v>
      </c>
      <c r="G15" s="178">
        <v>0.79</v>
      </c>
      <c r="H15" s="179">
        <f t="shared" si="0"/>
        <v>11.0205</v>
      </c>
      <c r="I15" s="180">
        <f t="shared" si="1"/>
        <v>14.970500000000001</v>
      </c>
      <c r="J15" s="187">
        <v>2.96</v>
      </c>
      <c r="K15" s="188">
        <v>21</v>
      </c>
      <c r="L15" s="189">
        <v>90</v>
      </c>
      <c r="M15" s="133"/>
      <c r="N15" s="133"/>
      <c r="O15" s="133"/>
      <c r="P15" s="134">
        <v>1</v>
      </c>
      <c r="Q15" s="135">
        <f t="shared" si="2"/>
        <v>108</v>
      </c>
      <c r="R15" s="136" t="s">
        <v>29</v>
      </c>
      <c r="S15" s="137">
        <v>4075</v>
      </c>
      <c r="T15" s="132"/>
      <c r="U15" s="137"/>
    </row>
    <row r="16" spans="1:21" s="40" customFormat="1" ht="14.5" x14ac:dyDescent="0.35">
      <c r="A16" s="66">
        <v>204</v>
      </c>
      <c r="B16" s="69" t="s">
        <v>47</v>
      </c>
      <c r="C16" s="71" t="s">
        <v>28</v>
      </c>
      <c r="D16" s="175" t="s">
        <v>186</v>
      </c>
      <c r="E16" s="185" t="s">
        <v>28</v>
      </c>
      <c r="F16" s="186">
        <v>1</v>
      </c>
      <c r="G16" s="178">
        <v>1.28</v>
      </c>
      <c r="H16" s="179">
        <f t="shared" si="0"/>
        <v>15.552000000000001</v>
      </c>
      <c r="I16" s="180">
        <f t="shared" si="1"/>
        <v>21.952000000000002</v>
      </c>
      <c r="J16" s="187">
        <v>18.690000000000001</v>
      </c>
      <c r="K16" s="188">
        <v>82</v>
      </c>
      <c r="L16" s="189">
        <v>180</v>
      </c>
      <c r="M16" s="133"/>
      <c r="N16" s="133"/>
      <c r="O16" s="133"/>
      <c r="P16" s="134">
        <v>1</v>
      </c>
      <c r="Q16" s="135">
        <f t="shared" si="2"/>
        <v>204</v>
      </c>
      <c r="R16" s="136" t="s">
        <v>29</v>
      </c>
      <c r="S16" s="137">
        <v>5031</v>
      </c>
      <c r="T16" s="132"/>
      <c r="U16" s="137"/>
    </row>
    <row r="17" spans="1:23" s="40" customFormat="1" ht="14.5" x14ac:dyDescent="0.35">
      <c r="A17" s="66" t="s">
        <v>53</v>
      </c>
      <c r="B17" s="69" t="s">
        <v>54</v>
      </c>
      <c r="C17" s="71" t="s">
        <v>28</v>
      </c>
      <c r="D17" s="175" t="s">
        <v>187</v>
      </c>
      <c r="E17" s="185" t="s">
        <v>28</v>
      </c>
      <c r="F17" s="186">
        <v>5</v>
      </c>
      <c r="G17" s="178">
        <v>1.7142857142857142</v>
      </c>
      <c r="H17" s="179">
        <f t="shared" si="0"/>
        <v>51.754285714285714</v>
      </c>
      <c r="I17" s="180">
        <f t="shared" si="1"/>
        <v>60.325714285714284</v>
      </c>
      <c r="J17" s="187">
        <v>12</v>
      </c>
      <c r="K17" s="188">
        <v>61</v>
      </c>
      <c r="L17" s="189">
        <v>190</v>
      </c>
      <c r="M17" s="133"/>
      <c r="N17" s="133"/>
      <c r="O17" s="133"/>
      <c r="P17" s="134">
        <v>1</v>
      </c>
      <c r="Q17" s="135" t="str">
        <f t="shared" si="2"/>
        <v>D</v>
      </c>
      <c r="R17" s="136" t="s">
        <v>48</v>
      </c>
      <c r="S17" s="137" t="s">
        <v>122</v>
      </c>
      <c r="T17" s="132"/>
      <c r="U17" s="137"/>
    </row>
    <row r="18" spans="1:23" s="40" customFormat="1" ht="14.5" x14ac:dyDescent="0.35">
      <c r="A18" s="66" t="s">
        <v>58</v>
      </c>
      <c r="B18" s="68" t="s">
        <v>65</v>
      </c>
      <c r="C18" s="71" t="s">
        <v>28</v>
      </c>
      <c r="D18" s="184" t="s">
        <v>188</v>
      </c>
      <c r="E18" s="185" t="s">
        <v>28</v>
      </c>
      <c r="F18" s="186">
        <v>4</v>
      </c>
      <c r="G18" s="178">
        <v>0.59113300492610843</v>
      </c>
      <c r="H18" s="179">
        <f t="shared" si="0"/>
        <v>12.466995073891626</v>
      </c>
      <c r="I18" s="180">
        <f t="shared" si="1"/>
        <v>15.422660098522169</v>
      </c>
      <c r="J18" s="187">
        <v>15.19</v>
      </c>
      <c r="K18" s="188">
        <v>89</v>
      </c>
      <c r="L18" s="189">
        <v>130</v>
      </c>
      <c r="M18" s="133"/>
      <c r="N18" s="133"/>
      <c r="O18" s="133"/>
      <c r="P18" s="134">
        <v>1</v>
      </c>
      <c r="Q18" s="135" t="str">
        <f t="shared" ref="Q18" si="3">A18</f>
        <v>E</v>
      </c>
      <c r="R18" s="136" t="s">
        <v>29</v>
      </c>
      <c r="S18" s="137">
        <v>5032</v>
      </c>
      <c r="T18" s="132"/>
      <c r="U18" s="137"/>
    </row>
    <row r="19" spans="1:23" s="40" customFormat="1" ht="14.5" x14ac:dyDescent="0.35">
      <c r="A19" s="66"/>
      <c r="B19" s="69"/>
      <c r="C19" s="71"/>
      <c r="D19" s="184" t="s">
        <v>289</v>
      </c>
      <c r="E19" s="185" t="s">
        <v>28</v>
      </c>
      <c r="F19" s="186" t="s">
        <v>88</v>
      </c>
      <c r="G19" s="178">
        <v>1.29</v>
      </c>
      <c r="H19" s="179">
        <f t="shared" si="0"/>
        <v>17.9955</v>
      </c>
      <c r="I19" s="180">
        <f t="shared" si="1"/>
        <v>24.445499999999999</v>
      </c>
      <c r="J19" s="187">
        <v>9.75</v>
      </c>
      <c r="K19" s="188">
        <v>46</v>
      </c>
      <c r="L19" s="189">
        <v>180</v>
      </c>
      <c r="M19" s="133"/>
      <c r="N19" s="133"/>
      <c r="O19" s="133"/>
      <c r="P19" s="134"/>
      <c r="Q19" s="135"/>
      <c r="R19" s="136"/>
      <c r="S19" s="137"/>
      <c r="T19" s="132"/>
      <c r="U19" s="137"/>
    </row>
    <row r="20" spans="1:23" s="40" customFormat="1" ht="14.5" x14ac:dyDescent="0.35">
      <c r="A20" s="66" t="s">
        <v>58</v>
      </c>
      <c r="B20" s="68" t="s">
        <v>65</v>
      </c>
      <c r="C20" s="71" t="s">
        <v>28</v>
      </c>
      <c r="D20" s="184" t="s">
        <v>290</v>
      </c>
      <c r="E20" s="185" t="s">
        <v>28</v>
      </c>
      <c r="F20" s="186" t="s">
        <v>90</v>
      </c>
      <c r="G20" s="178">
        <v>1.57</v>
      </c>
      <c r="H20" s="179">
        <f t="shared" si="0"/>
        <v>32.499000000000002</v>
      </c>
      <c r="I20" s="180">
        <f t="shared" si="1"/>
        <v>40.349000000000004</v>
      </c>
      <c r="J20" s="187">
        <v>41.13</v>
      </c>
      <c r="K20" s="188">
        <v>115</v>
      </c>
      <c r="L20" s="189">
        <v>290</v>
      </c>
      <c r="M20" s="133"/>
      <c r="N20" s="133"/>
      <c r="O20" s="133"/>
      <c r="P20" s="134">
        <v>1</v>
      </c>
      <c r="Q20" s="135" t="str">
        <f t="shared" si="2"/>
        <v>E</v>
      </c>
      <c r="R20" s="136" t="s">
        <v>29</v>
      </c>
      <c r="S20" s="137">
        <v>5032</v>
      </c>
      <c r="T20" s="132"/>
      <c r="U20" s="137"/>
    </row>
    <row r="21" spans="1:23" s="38" customFormat="1" ht="18" customHeight="1" x14ac:dyDescent="0.35">
      <c r="A21" s="41">
        <v>0</v>
      </c>
      <c r="B21" s="42" t="s">
        <v>30</v>
      </c>
      <c r="C21" s="37"/>
      <c r="D21" s="190" t="s">
        <v>161</v>
      </c>
      <c r="E21" s="191"/>
      <c r="F21" s="191"/>
      <c r="G21" s="192"/>
      <c r="H21" s="193"/>
      <c r="I21" s="192"/>
      <c r="J21" s="194"/>
      <c r="K21" s="195"/>
      <c r="L21" s="196"/>
      <c r="M21" s="138"/>
      <c r="N21" s="139"/>
      <c r="O21" s="139"/>
      <c r="P21" s="140"/>
      <c r="Q21" s="135">
        <f t="shared" si="2"/>
        <v>0</v>
      </c>
      <c r="R21" s="131"/>
      <c r="S21" s="132"/>
      <c r="T21" s="132"/>
      <c r="U21" s="132"/>
    </row>
    <row r="22" spans="1:23" s="40" customFormat="1" ht="14.5" x14ac:dyDescent="0.35">
      <c r="A22" s="66">
        <v>302</v>
      </c>
      <c r="B22" s="69" t="s">
        <v>60</v>
      </c>
      <c r="C22" s="71" t="s">
        <v>28</v>
      </c>
      <c r="D22" s="175" t="s">
        <v>189</v>
      </c>
      <c r="E22" s="185" t="s">
        <v>28</v>
      </c>
      <c r="F22" s="186">
        <v>1</v>
      </c>
      <c r="G22" s="178">
        <v>0.44</v>
      </c>
      <c r="H22" s="179">
        <f t="shared" ref="H22:H33" si="4">IF(F22="","",VLOOKUP(F22,F$45:H$65,3,FALSE)*G22)</f>
        <v>5.3460000000000001</v>
      </c>
      <c r="I22" s="180">
        <f t="shared" ref="I22:I33" si="5">IF(G22="","",G22*H$65+H22)</f>
        <v>7.5460000000000003</v>
      </c>
      <c r="J22" s="197">
        <v>4.2</v>
      </c>
      <c r="K22" s="198">
        <v>22</v>
      </c>
      <c r="L22" s="199">
        <v>70</v>
      </c>
      <c r="M22" s="133"/>
      <c r="N22" s="133"/>
      <c r="O22" s="133"/>
      <c r="P22" s="134">
        <v>2</v>
      </c>
      <c r="Q22" s="135">
        <f t="shared" si="2"/>
        <v>302</v>
      </c>
      <c r="R22" s="136" t="s">
        <v>29</v>
      </c>
      <c r="S22" s="137">
        <v>5082</v>
      </c>
      <c r="T22" s="132"/>
      <c r="U22" s="137"/>
    </row>
    <row r="23" spans="1:23" s="40" customFormat="1" ht="14.5" x14ac:dyDescent="0.35">
      <c r="A23" s="66">
        <v>301</v>
      </c>
      <c r="B23" s="69" t="s">
        <v>59</v>
      </c>
      <c r="C23" s="71" t="s">
        <v>28</v>
      </c>
      <c r="D23" s="175" t="s">
        <v>190</v>
      </c>
      <c r="E23" s="185" t="s">
        <v>28</v>
      </c>
      <c r="F23" s="186">
        <v>1</v>
      </c>
      <c r="G23" s="178">
        <v>0.53</v>
      </c>
      <c r="H23" s="179">
        <f t="shared" si="4"/>
        <v>6.4395000000000007</v>
      </c>
      <c r="I23" s="180">
        <f t="shared" si="5"/>
        <v>9.089500000000001</v>
      </c>
      <c r="J23" s="197">
        <v>4.01</v>
      </c>
      <c r="K23" s="198">
        <v>22</v>
      </c>
      <c r="L23" s="199">
        <v>70</v>
      </c>
      <c r="M23" s="133"/>
      <c r="N23" s="133"/>
      <c r="O23" s="133"/>
      <c r="P23" s="134">
        <v>2</v>
      </c>
      <c r="Q23" s="135">
        <f t="shared" ref="Q23:Q28" si="6">A23</f>
        <v>301</v>
      </c>
      <c r="R23" s="136" t="s">
        <v>29</v>
      </c>
      <c r="S23" s="137">
        <v>5081</v>
      </c>
      <c r="T23" s="132"/>
      <c r="U23" s="137"/>
    </row>
    <row r="24" spans="1:23" s="40" customFormat="1" ht="14.5" x14ac:dyDescent="0.35">
      <c r="A24" s="66" t="s">
        <v>69</v>
      </c>
      <c r="B24" s="69" t="s">
        <v>70</v>
      </c>
      <c r="C24" s="71" t="s">
        <v>28</v>
      </c>
      <c r="D24" s="175" t="s">
        <v>191</v>
      </c>
      <c r="E24" s="185" t="s">
        <v>28</v>
      </c>
      <c r="F24" s="186">
        <v>2</v>
      </c>
      <c r="G24" s="178">
        <f>0.5*1.2</f>
        <v>0.6</v>
      </c>
      <c r="H24" s="179">
        <f t="shared" si="4"/>
        <v>8.4659999999999993</v>
      </c>
      <c r="I24" s="180">
        <f t="shared" si="5"/>
        <v>11.465999999999999</v>
      </c>
      <c r="J24" s="197">
        <v>11.5</v>
      </c>
      <c r="K24" s="198">
        <v>40</v>
      </c>
      <c r="L24" s="199">
        <v>80</v>
      </c>
      <c r="M24" s="133"/>
      <c r="N24" s="133"/>
      <c r="O24" s="133"/>
      <c r="P24" s="134">
        <v>2</v>
      </c>
      <c r="Q24" s="135" t="str">
        <f t="shared" si="6"/>
        <v>H</v>
      </c>
      <c r="R24" s="136" t="s">
        <v>48</v>
      </c>
      <c r="S24" s="137" t="s">
        <v>71</v>
      </c>
      <c r="T24" s="132"/>
      <c r="U24" s="137"/>
    </row>
    <row r="25" spans="1:23" ht="14.5" x14ac:dyDescent="0.35">
      <c r="A25" s="65" t="s">
        <v>72</v>
      </c>
      <c r="B25" s="69" t="s">
        <v>81</v>
      </c>
      <c r="C25" s="71" t="s">
        <v>28</v>
      </c>
      <c r="D25" s="175" t="s">
        <v>192</v>
      </c>
      <c r="E25" s="185" t="s">
        <v>28</v>
      </c>
      <c r="F25" s="186">
        <v>2</v>
      </c>
      <c r="G25" s="178">
        <v>1</v>
      </c>
      <c r="H25" s="179">
        <f t="shared" si="4"/>
        <v>14.11</v>
      </c>
      <c r="I25" s="180">
        <f t="shared" si="5"/>
        <v>19.11</v>
      </c>
      <c r="J25" s="197">
        <v>31.67</v>
      </c>
      <c r="K25" s="198">
        <v>84</v>
      </c>
      <c r="L25" s="199">
        <v>90</v>
      </c>
      <c r="M25" s="133"/>
      <c r="N25" s="133"/>
      <c r="O25" s="133"/>
      <c r="P25" s="134">
        <v>2</v>
      </c>
      <c r="Q25" s="135" t="str">
        <f t="shared" si="6"/>
        <v>I</v>
      </c>
      <c r="R25" s="136" t="s">
        <v>48</v>
      </c>
      <c r="S25" s="141"/>
      <c r="T25" s="142"/>
      <c r="U25" s="142"/>
      <c r="W25" s="40"/>
    </row>
    <row r="26" spans="1:23" ht="14.5" x14ac:dyDescent="0.35">
      <c r="A26" s="65" t="s">
        <v>72</v>
      </c>
      <c r="B26" s="69" t="s">
        <v>81</v>
      </c>
      <c r="C26" s="71" t="s">
        <v>28</v>
      </c>
      <c r="D26" s="175" t="s">
        <v>193</v>
      </c>
      <c r="E26" s="185" t="s">
        <v>28</v>
      </c>
      <c r="F26" s="186">
        <v>2</v>
      </c>
      <c r="G26" s="178">
        <v>1</v>
      </c>
      <c r="H26" s="179">
        <f t="shared" ref="H26" si="7">IF(F26="","",VLOOKUP(F26,F$45:H$65,3,FALSE)*G26)</f>
        <v>14.11</v>
      </c>
      <c r="I26" s="180">
        <f t="shared" ref="I26" si="8">IF(G26="","",G26*H$65+H26)</f>
        <v>19.11</v>
      </c>
      <c r="J26" s="187">
        <f>J25+H$64</f>
        <v>39.92</v>
      </c>
      <c r="K26" s="188">
        <f>K25+$K$64</f>
        <v>140</v>
      </c>
      <c r="L26" s="189">
        <f>L25+$K$64</f>
        <v>146</v>
      </c>
      <c r="M26" s="133"/>
      <c r="N26" s="133"/>
      <c r="O26" s="133"/>
      <c r="P26" s="134">
        <v>2</v>
      </c>
      <c r="Q26" s="135" t="str">
        <f t="shared" si="6"/>
        <v>I</v>
      </c>
      <c r="R26" s="136" t="s">
        <v>48</v>
      </c>
      <c r="S26" s="141"/>
      <c r="T26" s="142"/>
      <c r="U26" s="142"/>
      <c r="W26" s="40"/>
    </row>
    <row r="27" spans="1:23" ht="14.5" x14ac:dyDescent="0.35">
      <c r="A27" s="65" t="s">
        <v>73</v>
      </c>
      <c r="B27" s="69" t="s">
        <v>82</v>
      </c>
      <c r="C27" s="71" t="s">
        <v>28</v>
      </c>
      <c r="D27" s="175" t="s">
        <v>194</v>
      </c>
      <c r="E27" s="185" t="s">
        <v>28</v>
      </c>
      <c r="F27" s="186">
        <v>2</v>
      </c>
      <c r="G27" s="178">
        <v>1</v>
      </c>
      <c r="H27" s="179">
        <f t="shared" si="4"/>
        <v>14.11</v>
      </c>
      <c r="I27" s="180">
        <f t="shared" si="5"/>
        <v>19.11</v>
      </c>
      <c r="J27" s="197">
        <v>21.67</v>
      </c>
      <c r="K27" s="198">
        <v>60</v>
      </c>
      <c r="L27" s="199">
        <v>85</v>
      </c>
      <c r="M27" s="133"/>
      <c r="N27" s="133"/>
      <c r="O27" s="133"/>
      <c r="P27" s="134">
        <v>2</v>
      </c>
      <c r="Q27" s="135" t="str">
        <f t="shared" si="6"/>
        <v>J</v>
      </c>
      <c r="R27" s="136" t="s">
        <v>48</v>
      </c>
      <c r="S27" s="142"/>
      <c r="T27" s="142"/>
      <c r="U27" s="142"/>
    </row>
    <row r="28" spans="1:23" ht="14.5" x14ac:dyDescent="0.35">
      <c r="A28" s="65" t="s">
        <v>73</v>
      </c>
      <c r="B28" s="69" t="s">
        <v>82</v>
      </c>
      <c r="C28" s="71" t="s">
        <v>28</v>
      </c>
      <c r="D28" s="175" t="s">
        <v>195</v>
      </c>
      <c r="E28" s="185" t="s">
        <v>28</v>
      </c>
      <c r="F28" s="186">
        <v>2</v>
      </c>
      <c r="G28" s="178">
        <v>1</v>
      </c>
      <c r="H28" s="179">
        <f t="shared" ref="H28" si="9">IF(F28="","",VLOOKUP(F28,F$45:H$65,3,FALSE)*G28)</f>
        <v>14.11</v>
      </c>
      <c r="I28" s="180">
        <f t="shared" ref="I28" si="10">IF(G28="","",G28*H$65+H28)</f>
        <v>19.11</v>
      </c>
      <c r="J28" s="187">
        <f>J27+H$64</f>
        <v>29.92</v>
      </c>
      <c r="K28" s="188">
        <f>K27+$K$64</f>
        <v>116</v>
      </c>
      <c r="L28" s="189">
        <f>L27+$K$64</f>
        <v>141</v>
      </c>
      <c r="M28" s="133"/>
      <c r="N28" s="133"/>
      <c r="O28" s="133"/>
      <c r="P28" s="134">
        <v>2</v>
      </c>
      <c r="Q28" s="135" t="str">
        <f t="shared" si="6"/>
        <v>J</v>
      </c>
      <c r="R28" s="136" t="s">
        <v>48</v>
      </c>
      <c r="S28" s="142"/>
      <c r="T28" s="142"/>
      <c r="U28" s="142"/>
    </row>
    <row r="29" spans="1:23" s="40" customFormat="1" ht="14.5" x14ac:dyDescent="0.35">
      <c r="A29" s="66">
        <v>314</v>
      </c>
      <c r="B29" s="69" t="s">
        <v>61</v>
      </c>
      <c r="C29" s="71" t="s">
        <v>28</v>
      </c>
      <c r="D29" s="175" t="s">
        <v>196</v>
      </c>
      <c r="E29" s="185" t="s">
        <v>28</v>
      </c>
      <c r="F29" s="186">
        <v>1</v>
      </c>
      <c r="G29" s="178">
        <v>1</v>
      </c>
      <c r="H29" s="179">
        <f t="shared" si="4"/>
        <v>12.15</v>
      </c>
      <c r="I29" s="180">
        <f t="shared" si="5"/>
        <v>17.149999999999999</v>
      </c>
      <c r="J29" s="197">
        <v>19.170000000000002</v>
      </c>
      <c r="K29" s="198">
        <v>53</v>
      </c>
      <c r="L29" s="199">
        <v>160</v>
      </c>
      <c r="M29" s="133"/>
      <c r="N29" s="133"/>
      <c r="O29" s="133"/>
      <c r="P29" s="134">
        <v>2</v>
      </c>
      <c r="Q29" s="135">
        <f t="shared" si="2"/>
        <v>314</v>
      </c>
      <c r="R29" s="136" t="s">
        <v>29</v>
      </c>
      <c r="S29" s="137">
        <v>5121</v>
      </c>
      <c r="T29" s="132"/>
      <c r="U29" s="137"/>
    </row>
    <row r="30" spans="1:23" s="40" customFormat="1" ht="14.5" x14ac:dyDescent="0.35">
      <c r="A30" s="66" t="s">
        <v>66</v>
      </c>
      <c r="B30" s="69" t="s">
        <v>67</v>
      </c>
      <c r="C30" s="71" t="s">
        <v>28</v>
      </c>
      <c r="D30" s="175" t="s">
        <v>197</v>
      </c>
      <c r="E30" s="185" t="s">
        <v>28</v>
      </c>
      <c r="F30" s="186">
        <v>1</v>
      </c>
      <c r="G30" s="178">
        <v>1</v>
      </c>
      <c r="H30" s="179">
        <f t="shared" si="4"/>
        <v>12.15</v>
      </c>
      <c r="I30" s="180">
        <f t="shared" si="5"/>
        <v>17.149999999999999</v>
      </c>
      <c r="J30" s="187">
        <f>J29+H$64</f>
        <v>27.42</v>
      </c>
      <c r="K30" s="188">
        <f>K29+$K$64</f>
        <v>109</v>
      </c>
      <c r="L30" s="189">
        <f>L29+$K$64</f>
        <v>216</v>
      </c>
      <c r="M30" s="133"/>
      <c r="N30" s="133"/>
      <c r="O30" s="133"/>
      <c r="P30" s="134">
        <v>2</v>
      </c>
      <c r="Q30" s="135" t="str">
        <f>A30</f>
        <v>G</v>
      </c>
      <c r="R30" s="136" t="s">
        <v>29</v>
      </c>
      <c r="S30" s="137" t="s">
        <v>68</v>
      </c>
      <c r="T30" s="132"/>
      <c r="U30" s="137"/>
    </row>
    <row r="31" spans="1:23" s="40" customFormat="1" ht="14.5" x14ac:dyDescent="0.35">
      <c r="A31" s="66">
        <v>403</v>
      </c>
      <c r="B31" s="69" t="s">
        <v>62</v>
      </c>
      <c r="C31" s="71" t="s">
        <v>28</v>
      </c>
      <c r="D31" s="175" t="s">
        <v>198</v>
      </c>
      <c r="E31" s="185" t="s">
        <v>28</v>
      </c>
      <c r="F31" s="186">
        <v>1</v>
      </c>
      <c r="G31" s="178">
        <v>0.84</v>
      </c>
      <c r="H31" s="179">
        <f t="shared" si="4"/>
        <v>10.206</v>
      </c>
      <c r="I31" s="180">
        <f t="shared" si="5"/>
        <v>14.405999999999999</v>
      </c>
      <c r="J31" s="197">
        <v>2.79</v>
      </c>
      <c r="K31" s="198">
        <v>10</v>
      </c>
      <c r="L31" s="199">
        <v>90</v>
      </c>
      <c r="M31" s="133"/>
      <c r="N31" s="133"/>
      <c r="O31" s="133"/>
      <c r="P31" s="134">
        <v>2</v>
      </c>
      <c r="Q31" s="135">
        <f t="shared" ref="Q31:Q34" si="11">A31</f>
        <v>403</v>
      </c>
      <c r="R31" s="136" t="s">
        <v>29</v>
      </c>
      <c r="S31" s="137">
        <v>6004</v>
      </c>
      <c r="T31" s="132"/>
      <c r="U31" s="137"/>
    </row>
    <row r="32" spans="1:23" s="40" customFormat="1" ht="14.5" x14ac:dyDescent="0.35">
      <c r="A32" s="66">
        <v>407</v>
      </c>
      <c r="B32" s="69" t="s">
        <v>63</v>
      </c>
      <c r="C32" s="71" t="s">
        <v>31</v>
      </c>
      <c r="D32" s="175" t="s">
        <v>199</v>
      </c>
      <c r="E32" s="185" t="s">
        <v>31</v>
      </c>
      <c r="F32" s="186">
        <v>2</v>
      </c>
      <c r="G32" s="178">
        <v>7.0000000000000007E-2</v>
      </c>
      <c r="H32" s="179">
        <f t="shared" si="4"/>
        <v>0.98770000000000002</v>
      </c>
      <c r="I32" s="180">
        <f t="shared" si="5"/>
        <v>1.3377000000000001</v>
      </c>
      <c r="J32" s="197">
        <v>1.46</v>
      </c>
      <c r="K32" s="198">
        <v>8.4700000000000006</v>
      </c>
      <c r="L32" s="199">
        <v>20</v>
      </c>
      <c r="M32" s="133"/>
      <c r="N32" s="133"/>
      <c r="O32" s="133"/>
      <c r="P32" s="134">
        <v>2</v>
      </c>
      <c r="Q32" s="135">
        <f t="shared" si="11"/>
        <v>407</v>
      </c>
      <c r="R32" s="136" t="s">
        <v>29</v>
      </c>
      <c r="S32" s="137" t="s">
        <v>33</v>
      </c>
      <c r="T32" s="132" t="s">
        <v>32</v>
      </c>
      <c r="U32" s="137"/>
    </row>
    <row r="33" spans="1:21" s="40" customFormat="1" ht="14.5" x14ac:dyDescent="0.35">
      <c r="A33" s="66">
        <v>501</v>
      </c>
      <c r="B33" s="69" t="s">
        <v>64</v>
      </c>
      <c r="C33" s="71" t="s">
        <v>28</v>
      </c>
      <c r="D33" s="175" t="s">
        <v>200</v>
      </c>
      <c r="E33" s="185" t="s">
        <v>28</v>
      </c>
      <c r="F33" s="186">
        <v>1</v>
      </c>
      <c r="G33" s="178">
        <v>0.82</v>
      </c>
      <c r="H33" s="179">
        <f t="shared" si="4"/>
        <v>9.9629999999999992</v>
      </c>
      <c r="I33" s="180">
        <f t="shared" si="5"/>
        <v>14.062999999999999</v>
      </c>
      <c r="J33" s="197">
        <v>12.13</v>
      </c>
      <c r="K33" s="198">
        <v>46</v>
      </c>
      <c r="L33" s="199">
        <v>94</v>
      </c>
      <c r="M33" s="133"/>
      <c r="N33" s="133"/>
      <c r="O33" s="133"/>
      <c r="P33" s="134">
        <v>2</v>
      </c>
      <c r="Q33" s="135">
        <f t="shared" si="11"/>
        <v>501</v>
      </c>
      <c r="R33" s="136" t="s">
        <v>29</v>
      </c>
      <c r="S33" s="137">
        <v>5153</v>
      </c>
      <c r="T33" s="132"/>
      <c r="U33" s="137"/>
    </row>
    <row r="34" spans="1:21" s="40" customFormat="1" ht="14.5" x14ac:dyDescent="0.35">
      <c r="A34" s="66" t="s">
        <v>84</v>
      </c>
      <c r="B34" s="69" t="s">
        <v>85</v>
      </c>
      <c r="C34" s="71" t="s">
        <v>2</v>
      </c>
      <c r="D34" s="175" t="s">
        <v>201</v>
      </c>
      <c r="E34" s="185" t="s">
        <v>2</v>
      </c>
      <c r="F34" s="186"/>
      <c r="G34" s="178">
        <v>0</v>
      </c>
      <c r="H34" s="179">
        <v>0</v>
      </c>
      <c r="I34" s="180">
        <v>0</v>
      </c>
      <c r="J34" s="187">
        <v>28</v>
      </c>
      <c r="K34" s="188">
        <v>28</v>
      </c>
      <c r="L34" s="189">
        <v>28</v>
      </c>
      <c r="M34" s="133"/>
      <c r="N34" s="133"/>
      <c r="O34" s="133"/>
      <c r="P34" s="134">
        <v>2</v>
      </c>
      <c r="Q34" s="135" t="str">
        <f t="shared" si="11"/>
        <v>K</v>
      </c>
      <c r="R34" s="136"/>
      <c r="S34" s="137"/>
      <c r="T34" s="132"/>
      <c r="U34" s="137"/>
    </row>
    <row r="35" spans="1:21" s="38" customFormat="1" ht="18" customHeight="1" x14ac:dyDescent="0.35">
      <c r="A35" s="41">
        <v>0</v>
      </c>
      <c r="B35" s="46" t="s">
        <v>35</v>
      </c>
      <c r="C35" s="42"/>
      <c r="D35" s="190" t="s">
        <v>162</v>
      </c>
      <c r="E35" s="200"/>
      <c r="F35" s="200"/>
      <c r="G35" s="201"/>
      <c r="H35" s="202"/>
      <c r="I35" s="201"/>
      <c r="J35" s="203"/>
      <c r="K35" s="204"/>
      <c r="L35" s="205"/>
      <c r="M35" s="138"/>
      <c r="N35" s="139"/>
      <c r="O35" s="139"/>
      <c r="P35" s="140"/>
      <c r="Q35" s="135">
        <f t="shared" ref="Q35:Q37" si="12">A35</f>
        <v>0</v>
      </c>
      <c r="R35" s="131"/>
      <c r="S35" s="132"/>
      <c r="T35" s="132"/>
      <c r="U35" s="132"/>
    </row>
    <row r="36" spans="1:21" s="40" customFormat="1" ht="14.5" x14ac:dyDescent="0.35">
      <c r="A36" s="66">
        <v>803</v>
      </c>
      <c r="B36" s="69" t="s">
        <v>123</v>
      </c>
      <c r="C36" s="71" t="s">
        <v>34</v>
      </c>
      <c r="D36" s="175" t="s">
        <v>202</v>
      </c>
      <c r="E36" s="185" t="s">
        <v>159</v>
      </c>
      <c r="F36" s="186">
        <v>1</v>
      </c>
      <c r="G36" s="178">
        <v>1</v>
      </c>
      <c r="H36" s="179">
        <f t="shared" ref="H36:H37" si="13">IF(F36="","",VLOOKUP(F36,F$45:H$65,3,FALSE)*G36)</f>
        <v>12.15</v>
      </c>
      <c r="I36" s="180">
        <f t="shared" ref="I36:I37" si="14">IF(G36="","",G36*H$65+H36)</f>
        <v>17.149999999999999</v>
      </c>
      <c r="J36" s="197">
        <v>12.32</v>
      </c>
      <c r="K36" s="198">
        <v>56</v>
      </c>
      <c r="L36" s="199">
        <v>140</v>
      </c>
      <c r="M36" s="133">
        <v>0</v>
      </c>
      <c r="N36" s="133">
        <v>0.2</v>
      </c>
      <c r="O36" s="133"/>
      <c r="P36" s="134">
        <v>3</v>
      </c>
      <c r="Q36" s="135">
        <f t="shared" si="12"/>
        <v>803</v>
      </c>
      <c r="R36" s="136" t="s">
        <v>29</v>
      </c>
      <c r="S36" s="137">
        <v>3004</v>
      </c>
      <c r="T36" s="132"/>
      <c r="U36" s="137"/>
    </row>
    <row r="37" spans="1:21" s="40" customFormat="1" ht="14.5" x14ac:dyDescent="0.35">
      <c r="A37" s="66">
        <v>804</v>
      </c>
      <c r="B37" s="69" t="s">
        <v>124</v>
      </c>
      <c r="C37" s="71" t="s">
        <v>2</v>
      </c>
      <c r="D37" s="175" t="s">
        <v>203</v>
      </c>
      <c r="E37" s="185" t="s">
        <v>2</v>
      </c>
      <c r="F37" s="186">
        <v>1</v>
      </c>
      <c r="G37" s="178">
        <v>1</v>
      </c>
      <c r="H37" s="179">
        <f t="shared" si="13"/>
        <v>12.15</v>
      </c>
      <c r="I37" s="180">
        <f t="shared" si="14"/>
        <v>17.149999999999999</v>
      </c>
      <c r="J37" s="197">
        <f>J36</f>
        <v>12.32</v>
      </c>
      <c r="K37" s="198">
        <f>K36</f>
        <v>56</v>
      </c>
      <c r="L37" s="199">
        <f>L36</f>
        <v>140</v>
      </c>
      <c r="M37" s="133">
        <v>0</v>
      </c>
      <c r="N37" s="133">
        <v>0.2</v>
      </c>
      <c r="O37" s="133"/>
      <c r="P37" s="134">
        <v>3</v>
      </c>
      <c r="Q37" s="135">
        <f t="shared" si="12"/>
        <v>804</v>
      </c>
      <c r="R37" s="136" t="s">
        <v>29</v>
      </c>
      <c r="S37" s="137">
        <v>3004</v>
      </c>
      <c r="T37" s="132"/>
      <c r="U37" s="137"/>
    </row>
    <row r="38" spans="1:21" s="40" customFormat="1" ht="14.5" x14ac:dyDescent="0.35">
      <c r="A38" s="66">
        <v>807</v>
      </c>
      <c r="B38" s="69" t="s">
        <v>74</v>
      </c>
      <c r="C38" s="71" t="s">
        <v>34</v>
      </c>
      <c r="D38" s="175" t="s">
        <v>204</v>
      </c>
      <c r="E38" s="185" t="s">
        <v>159</v>
      </c>
      <c r="F38" s="186">
        <v>2</v>
      </c>
      <c r="G38" s="178">
        <v>1</v>
      </c>
      <c r="H38" s="179">
        <f t="shared" ref="H38:H43" si="15">IF(F38="","",VLOOKUP(F38,F$45:H$65,3,FALSE)*G38)</f>
        <v>14.11</v>
      </c>
      <c r="I38" s="180">
        <f t="shared" ref="I38:I43" si="16">IF(G38="","",G38*H$65+H38)</f>
        <v>19.11</v>
      </c>
      <c r="J38" s="197">
        <v>11.6</v>
      </c>
      <c r="K38" s="198">
        <v>50</v>
      </c>
      <c r="L38" s="199">
        <v>130</v>
      </c>
      <c r="M38" s="133">
        <v>0</v>
      </c>
      <c r="N38" s="133"/>
      <c r="O38" s="133"/>
      <c r="P38" s="134">
        <v>3</v>
      </c>
      <c r="Q38" s="135">
        <f>A38</f>
        <v>807</v>
      </c>
      <c r="R38" s="136" t="s">
        <v>29</v>
      </c>
      <c r="S38" s="137">
        <v>3010</v>
      </c>
      <c r="T38" s="132"/>
      <c r="U38" s="137"/>
    </row>
    <row r="39" spans="1:21" s="40" customFormat="1" ht="14.5" x14ac:dyDescent="0.35">
      <c r="A39" s="66">
        <v>808</v>
      </c>
      <c r="B39" s="69" t="s">
        <v>75</v>
      </c>
      <c r="C39" s="71" t="s">
        <v>2</v>
      </c>
      <c r="D39" s="175" t="s">
        <v>205</v>
      </c>
      <c r="E39" s="185" t="s">
        <v>2</v>
      </c>
      <c r="F39" s="186">
        <v>2</v>
      </c>
      <c r="G39" s="178">
        <v>1</v>
      </c>
      <c r="H39" s="179">
        <f t="shared" si="15"/>
        <v>14.11</v>
      </c>
      <c r="I39" s="180">
        <f t="shared" si="16"/>
        <v>19.11</v>
      </c>
      <c r="J39" s="197">
        <f>J38</f>
        <v>11.6</v>
      </c>
      <c r="K39" s="198">
        <f>K38</f>
        <v>50</v>
      </c>
      <c r="L39" s="199">
        <f>L38</f>
        <v>130</v>
      </c>
      <c r="M39" s="133">
        <v>0</v>
      </c>
      <c r="N39" s="133"/>
      <c r="O39" s="133"/>
      <c r="P39" s="134">
        <v>3</v>
      </c>
      <c r="Q39" s="135">
        <f>A39</f>
        <v>808</v>
      </c>
      <c r="R39" s="136" t="s">
        <v>29</v>
      </c>
      <c r="S39" s="137">
        <f>S38</f>
        <v>3010</v>
      </c>
      <c r="T39" s="132"/>
      <c r="U39" s="137"/>
    </row>
    <row r="40" spans="1:21" s="40" customFormat="1" ht="14.5" x14ac:dyDescent="0.35">
      <c r="A40" s="66"/>
      <c r="B40" s="69" t="s">
        <v>76</v>
      </c>
      <c r="C40" s="71" t="s">
        <v>28</v>
      </c>
      <c r="D40" s="175" t="s">
        <v>291</v>
      </c>
      <c r="E40" s="185" t="s">
        <v>28</v>
      </c>
      <c r="F40" s="186"/>
      <c r="G40" s="178"/>
      <c r="H40" s="179" t="str">
        <f t="shared" ref="H40" si="17">IF(F40="","",VLOOKUP(F40,F$45:H$65,3,FALSE)*G40)</f>
        <v/>
      </c>
      <c r="I40" s="180" t="str">
        <f t="shared" ref="I40" si="18">IF(G40="","",G40*H$65+H40)</f>
        <v/>
      </c>
      <c r="J40" s="197">
        <f>72.78/1.43+12.19</f>
        <v>63.085104895104898</v>
      </c>
      <c r="K40" s="198">
        <v>283</v>
      </c>
      <c r="L40" s="199">
        <v>440</v>
      </c>
      <c r="M40" s="133">
        <v>0</v>
      </c>
      <c r="N40" s="133"/>
      <c r="O40" s="133"/>
      <c r="P40" s="134">
        <v>3</v>
      </c>
      <c r="Q40" s="135">
        <f>A40</f>
        <v>0</v>
      </c>
      <c r="R40" s="136" t="s">
        <v>29</v>
      </c>
      <c r="S40" s="137" t="s">
        <v>36</v>
      </c>
      <c r="T40" s="132"/>
      <c r="U40" s="137"/>
    </row>
    <row r="41" spans="1:21" s="40" customFormat="1" ht="14.5" x14ac:dyDescent="0.35">
      <c r="A41" s="66"/>
      <c r="B41" s="69"/>
      <c r="C41" s="411"/>
      <c r="D41" s="175" t="s">
        <v>293</v>
      </c>
      <c r="E41" s="185" t="s">
        <v>28</v>
      </c>
      <c r="F41" s="412"/>
      <c r="G41" s="413"/>
      <c r="H41" s="219"/>
      <c r="I41" s="218"/>
      <c r="J41" s="414">
        <f>128.9/1.89+11.57</f>
        <v>79.771058201058196</v>
      </c>
      <c r="K41" s="415">
        <v>290</v>
      </c>
      <c r="L41" s="416">
        <v>440</v>
      </c>
      <c r="M41" s="133"/>
      <c r="N41" s="133"/>
      <c r="O41" s="133"/>
      <c r="P41" s="134"/>
      <c r="Q41" s="135"/>
      <c r="R41" s="136"/>
      <c r="S41" s="137"/>
      <c r="T41" s="132"/>
      <c r="U41" s="137"/>
    </row>
    <row r="42" spans="1:21" s="40" customFormat="1" ht="14.5" x14ac:dyDescent="0.35">
      <c r="A42" s="66"/>
      <c r="B42" s="69"/>
      <c r="C42" s="411"/>
      <c r="D42" s="175" t="s">
        <v>292</v>
      </c>
      <c r="E42" s="185" t="s">
        <v>28</v>
      </c>
      <c r="F42" s="412"/>
      <c r="G42" s="413"/>
      <c r="H42" s="219"/>
      <c r="I42" s="218"/>
      <c r="J42" s="197">
        <f>J40+8.5</f>
        <v>71.585104895104905</v>
      </c>
      <c r="K42" s="198">
        <f>K40+100</f>
        <v>383</v>
      </c>
      <c r="L42" s="199">
        <v>550</v>
      </c>
      <c r="M42" s="133"/>
      <c r="N42" s="133"/>
      <c r="O42" s="133"/>
      <c r="P42" s="134"/>
      <c r="Q42" s="135"/>
      <c r="R42" s="136"/>
      <c r="S42" s="137"/>
      <c r="T42" s="132"/>
      <c r="U42" s="137"/>
    </row>
    <row r="43" spans="1:21" s="40" customFormat="1" ht="14.5" x14ac:dyDescent="0.35">
      <c r="A43" s="66"/>
      <c r="B43" s="69" t="s">
        <v>77</v>
      </c>
      <c r="C43" s="76" t="s">
        <v>28</v>
      </c>
      <c r="D43" s="206" t="s">
        <v>294</v>
      </c>
      <c r="E43" s="207" t="s">
        <v>28</v>
      </c>
      <c r="F43" s="208"/>
      <c r="G43" s="209"/>
      <c r="H43" s="210" t="str">
        <f t="shared" si="15"/>
        <v/>
      </c>
      <c r="I43" s="211" t="str">
        <f t="shared" si="16"/>
        <v/>
      </c>
      <c r="J43" s="212">
        <f>J41+8.5</f>
        <v>88.271058201058196</v>
      </c>
      <c r="K43" s="213">
        <f>K41+100</f>
        <v>390</v>
      </c>
      <c r="L43" s="214">
        <v>550</v>
      </c>
      <c r="M43" s="133">
        <v>0</v>
      </c>
      <c r="N43" s="133"/>
      <c r="O43" s="133"/>
      <c r="P43" s="134">
        <v>3</v>
      </c>
      <c r="Q43" s="135">
        <f>A43</f>
        <v>0</v>
      </c>
      <c r="R43" s="136" t="s">
        <v>29</v>
      </c>
      <c r="S43" s="143" t="s">
        <v>78</v>
      </c>
      <c r="T43" s="137"/>
      <c r="U43" s="137"/>
    </row>
    <row r="44" spans="1:21" s="38" customFormat="1" ht="18" customHeight="1" x14ac:dyDescent="0.35">
      <c r="A44" s="41"/>
      <c r="B44" s="94" t="s">
        <v>95</v>
      </c>
      <c r="C44" s="75"/>
      <c r="D44" s="190" t="s">
        <v>87</v>
      </c>
      <c r="E44" s="200"/>
      <c r="F44" s="191"/>
      <c r="G44" s="192"/>
      <c r="H44" s="193"/>
      <c r="I44" s="192"/>
      <c r="J44" s="194"/>
      <c r="K44" s="195"/>
      <c r="L44" s="196"/>
      <c r="M44" s="138"/>
      <c r="N44" s="139"/>
      <c r="O44" s="139"/>
      <c r="P44" s="140"/>
      <c r="Q44" s="135"/>
      <c r="R44" s="131"/>
      <c r="S44" s="132"/>
      <c r="T44" s="132"/>
      <c r="U44" s="132"/>
    </row>
    <row r="45" spans="1:21" s="40" customFormat="1" ht="14.5" x14ac:dyDescent="0.35">
      <c r="A45" s="66"/>
      <c r="B45" s="95" t="s">
        <v>96</v>
      </c>
      <c r="C45" s="74"/>
      <c r="D45" s="175" t="s">
        <v>96</v>
      </c>
      <c r="E45" s="185" t="s">
        <v>2</v>
      </c>
      <c r="F45" s="185">
        <v>1</v>
      </c>
      <c r="G45" s="180"/>
      <c r="H45" s="179">
        <v>12.15</v>
      </c>
      <c r="I45" s="180"/>
      <c r="J45" s="215"/>
      <c r="K45" s="188">
        <v>30</v>
      </c>
      <c r="L45" s="216"/>
      <c r="M45" s="133"/>
      <c r="N45" s="133"/>
      <c r="O45" s="133"/>
      <c r="P45" s="134"/>
      <c r="Q45" s="135"/>
      <c r="R45" s="136" t="s">
        <v>29</v>
      </c>
      <c r="S45" s="137">
        <v>1002</v>
      </c>
      <c r="T45" s="132"/>
      <c r="U45" s="137"/>
    </row>
    <row r="46" spans="1:21" s="40" customFormat="1" ht="14.5" x14ac:dyDescent="0.35">
      <c r="A46" s="66"/>
      <c r="B46" s="95" t="s">
        <v>97</v>
      </c>
      <c r="C46" s="74"/>
      <c r="D46" s="175" t="s">
        <v>97</v>
      </c>
      <c r="E46" s="185" t="s">
        <v>2</v>
      </c>
      <c r="F46" s="185" t="s">
        <v>88</v>
      </c>
      <c r="G46" s="180"/>
      <c r="H46" s="179">
        <v>13.95</v>
      </c>
      <c r="I46" s="180"/>
      <c r="J46" s="215"/>
      <c r="K46" s="188">
        <v>36.299999999999997</v>
      </c>
      <c r="L46" s="216"/>
      <c r="M46" s="133"/>
      <c r="N46" s="133"/>
      <c r="O46" s="133"/>
      <c r="P46" s="134"/>
      <c r="Q46" s="135"/>
      <c r="R46" s="136"/>
      <c r="S46" s="137"/>
      <c r="T46" s="132"/>
      <c r="U46" s="137"/>
    </row>
    <row r="47" spans="1:21" s="40" customFormat="1" ht="14.5" x14ac:dyDescent="0.35">
      <c r="A47" s="66"/>
      <c r="B47" s="95" t="s">
        <v>98</v>
      </c>
      <c r="C47" s="74"/>
      <c r="D47" s="175" t="s">
        <v>98</v>
      </c>
      <c r="E47" s="185" t="s">
        <v>2</v>
      </c>
      <c r="F47" s="185">
        <v>2</v>
      </c>
      <c r="G47" s="180"/>
      <c r="H47" s="179">
        <v>14.11</v>
      </c>
      <c r="I47" s="180"/>
      <c r="J47" s="215"/>
      <c r="K47" s="188">
        <v>32</v>
      </c>
      <c r="L47" s="216"/>
      <c r="M47" s="133"/>
      <c r="N47" s="133"/>
      <c r="O47" s="133"/>
      <c r="P47" s="134"/>
      <c r="Q47" s="135"/>
      <c r="R47" s="136" t="s">
        <v>29</v>
      </c>
      <c r="S47" s="137">
        <v>1003</v>
      </c>
      <c r="T47" s="132"/>
      <c r="U47" s="137"/>
    </row>
    <row r="48" spans="1:21" s="40" customFormat="1" ht="14.5" x14ac:dyDescent="0.35">
      <c r="A48" s="66"/>
      <c r="B48" s="96" t="s">
        <v>99</v>
      </c>
      <c r="C48" s="74"/>
      <c r="D48" s="175" t="s">
        <v>99</v>
      </c>
      <c r="E48" s="185" t="s">
        <v>2</v>
      </c>
      <c r="F48" s="185" t="s">
        <v>89</v>
      </c>
      <c r="G48" s="180"/>
      <c r="H48" s="179">
        <v>15.91</v>
      </c>
      <c r="I48" s="180"/>
      <c r="J48" s="215"/>
      <c r="K48" s="188">
        <v>38.299999999999997</v>
      </c>
      <c r="L48" s="216"/>
      <c r="M48" s="133"/>
      <c r="N48" s="133"/>
      <c r="O48" s="133"/>
      <c r="P48" s="134"/>
      <c r="Q48" s="135"/>
      <c r="R48" s="136"/>
      <c r="S48" s="137"/>
      <c r="T48" s="132"/>
      <c r="U48" s="137"/>
    </row>
    <row r="49" spans="1:21" s="40" customFormat="1" ht="14.5" x14ac:dyDescent="0.35">
      <c r="A49" s="66"/>
      <c r="B49" s="96" t="s">
        <v>100</v>
      </c>
      <c r="C49" s="74"/>
      <c r="D49" s="175" t="s">
        <v>100</v>
      </c>
      <c r="E49" s="185" t="s">
        <v>2</v>
      </c>
      <c r="F49" s="185">
        <v>3</v>
      </c>
      <c r="G49" s="180"/>
      <c r="H49" s="179">
        <v>18.73</v>
      </c>
      <c r="I49" s="180"/>
      <c r="J49" s="215"/>
      <c r="K49" s="188">
        <v>40</v>
      </c>
      <c r="L49" s="216"/>
      <c r="M49" s="133"/>
      <c r="N49" s="133"/>
      <c r="O49" s="133"/>
      <c r="P49" s="134"/>
      <c r="Q49" s="135"/>
      <c r="R49" s="136" t="s">
        <v>29</v>
      </c>
      <c r="S49" s="137">
        <v>1005</v>
      </c>
      <c r="T49" s="132"/>
      <c r="U49" s="137"/>
    </row>
    <row r="50" spans="1:21" s="40" customFormat="1" ht="14.5" x14ac:dyDescent="0.35">
      <c r="A50" s="66"/>
      <c r="B50" s="96" t="s">
        <v>101</v>
      </c>
      <c r="C50" s="74"/>
      <c r="D50" s="175" t="s">
        <v>101</v>
      </c>
      <c r="E50" s="185" t="s">
        <v>2</v>
      </c>
      <c r="F50" s="185" t="s">
        <v>90</v>
      </c>
      <c r="G50" s="180"/>
      <c r="H50" s="179">
        <v>20.7</v>
      </c>
      <c r="I50" s="180"/>
      <c r="J50" s="215"/>
      <c r="K50" s="188">
        <v>47.2</v>
      </c>
      <c r="L50" s="216"/>
      <c r="M50" s="133"/>
      <c r="N50" s="133"/>
      <c r="O50" s="133"/>
      <c r="P50" s="134"/>
      <c r="Q50" s="135"/>
      <c r="R50" s="136"/>
      <c r="S50" s="137"/>
      <c r="T50" s="132"/>
      <c r="U50" s="137"/>
    </row>
    <row r="51" spans="1:21" s="40" customFormat="1" ht="14.5" x14ac:dyDescent="0.35">
      <c r="A51" s="66"/>
      <c r="B51" s="95" t="s">
        <v>102</v>
      </c>
      <c r="C51" s="74"/>
      <c r="D51" s="175" t="s">
        <v>102</v>
      </c>
      <c r="E51" s="185" t="s">
        <v>2</v>
      </c>
      <c r="F51" s="185">
        <v>4</v>
      </c>
      <c r="G51" s="180"/>
      <c r="H51" s="179">
        <v>21.09</v>
      </c>
      <c r="I51" s="180"/>
      <c r="J51" s="215"/>
      <c r="K51" s="188">
        <v>45</v>
      </c>
      <c r="L51" s="216"/>
      <c r="M51" s="133"/>
      <c r="N51" s="133"/>
      <c r="O51" s="133"/>
      <c r="P51" s="134"/>
      <c r="Q51" s="135"/>
      <c r="R51" s="136" t="s">
        <v>29</v>
      </c>
      <c r="S51" s="137">
        <v>1006</v>
      </c>
      <c r="T51" s="132"/>
      <c r="U51" s="137"/>
    </row>
    <row r="52" spans="1:21" s="40" customFormat="1" ht="14.5" x14ac:dyDescent="0.35">
      <c r="A52" s="66"/>
      <c r="B52" s="95" t="s">
        <v>103</v>
      </c>
      <c r="C52" s="74"/>
      <c r="D52" s="175" t="s">
        <v>103</v>
      </c>
      <c r="E52" s="185" t="s">
        <v>2</v>
      </c>
      <c r="F52" s="185" t="s">
        <v>91</v>
      </c>
      <c r="G52" s="180"/>
      <c r="H52" s="179">
        <v>23.06</v>
      </c>
      <c r="I52" s="180"/>
      <c r="J52" s="215"/>
      <c r="K52" s="188">
        <v>52.2</v>
      </c>
      <c r="L52" s="216"/>
      <c r="M52" s="133"/>
      <c r="N52" s="133"/>
      <c r="O52" s="133"/>
      <c r="P52" s="134"/>
      <c r="Q52" s="135"/>
      <c r="R52" s="136"/>
      <c r="S52" s="137"/>
      <c r="T52" s="132"/>
      <c r="U52" s="137"/>
    </row>
    <row r="53" spans="1:21" s="40" customFormat="1" ht="14.5" x14ac:dyDescent="0.35">
      <c r="A53" s="66"/>
      <c r="B53" s="95" t="s">
        <v>104</v>
      </c>
      <c r="C53" s="74"/>
      <c r="D53" s="175" t="s">
        <v>104</v>
      </c>
      <c r="E53" s="185" t="s">
        <v>2</v>
      </c>
      <c r="F53" s="185">
        <v>5</v>
      </c>
      <c r="G53" s="180"/>
      <c r="H53" s="179">
        <v>30.19</v>
      </c>
      <c r="I53" s="180"/>
      <c r="J53" s="215"/>
      <c r="K53" s="188">
        <v>62</v>
      </c>
      <c r="L53" s="216"/>
      <c r="M53" s="133"/>
      <c r="N53" s="133"/>
      <c r="O53" s="133"/>
      <c r="P53" s="134"/>
      <c r="Q53" s="135"/>
      <c r="R53" s="136" t="s">
        <v>29</v>
      </c>
      <c r="S53" s="137">
        <v>1011</v>
      </c>
      <c r="T53" s="132"/>
      <c r="U53" s="137"/>
    </row>
    <row r="54" spans="1:21" s="40" customFormat="1" ht="14.5" x14ac:dyDescent="0.35">
      <c r="A54" s="66"/>
      <c r="B54" s="96" t="s">
        <v>105</v>
      </c>
      <c r="C54" s="74"/>
      <c r="D54" s="175" t="s">
        <v>105</v>
      </c>
      <c r="E54" s="185" t="s">
        <v>2</v>
      </c>
      <c r="F54" s="185" t="s">
        <v>92</v>
      </c>
      <c r="G54" s="180"/>
      <c r="H54" s="179">
        <v>32.159999999999997</v>
      </c>
      <c r="I54" s="180"/>
      <c r="J54" s="215"/>
      <c r="K54" s="188">
        <v>69.2</v>
      </c>
      <c r="L54" s="216"/>
      <c r="M54" s="133"/>
      <c r="N54" s="133"/>
      <c r="O54" s="133"/>
      <c r="P54" s="134"/>
      <c r="Q54" s="135"/>
      <c r="R54" s="136"/>
      <c r="S54" s="137"/>
      <c r="T54" s="132"/>
      <c r="U54" s="137"/>
    </row>
    <row r="55" spans="1:21" s="40" customFormat="1" ht="14.5" x14ac:dyDescent="0.35">
      <c r="A55" s="66"/>
      <c r="B55" s="96" t="s">
        <v>117</v>
      </c>
      <c r="C55" s="74"/>
      <c r="D55" s="175" t="s">
        <v>117</v>
      </c>
      <c r="E55" s="185" t="s">
        <v>2</v>
      </c>
      <c r="F55" s="185">
        <v>6</v>
      </c>
      <c r="G55" s="180"/>
      <c r="H55" s="179">
        <v>10.7</v>
      </c>
      <c r="I55" s="180"/>
      <c r="J55" s="215"/>
      <c r="K55" s="188">
        <v>30</v>
      </c>
      <c r="L55" s="216"/>
      <c r="M55" s="133"/>
      <c r="N55" s="133"/>
      <c r="O55" s="133"/>
      <c r="P55" s="134"/>
      <c r="Q55" s="135"/>
      <c r="R55" s="136" t="s">
        <v>29</v>
      </c>
      <c r="S55" s="137">
        <v>1043</v>
      </c>
      <c r="T55" s="132"/>
      <c r="U55" s="137"/>
    </row>
    <row r="56" spans="1:21" s="40" customFormat="1" ht="14.5" x14ac:dyDescent="0.35">
      <c r="A56" s="66"/>
      <c r="B56" s="96" t="s">
        <v>106</v>
      </c>
      <c r="C56" s="74"/>
      <c r="D56" s="175" t="s">
        <v>106</v>
      </c>
      <c r="E56" s="185" t="s">
        <v>2</v>
      </c>
      <c r="F56" s="185">
        <v>7</v>
      </c>
      <c r="G56" s="180"/>
      <c r="H56" s="179">
        <v>15.06</v>
      </c>
      <c r="I56" s="180"/>
      <c r="J56" s="215"/>
      <c r="K56" s="188">
        <v>38</v>
      </c>
      <c r="L56" s="216"/>
      <c r="M56" s="133"/>
      <c r="N56" s="133"/>
      <c r="O56" s="133"/>
      <c r="P56" s="134"/>
      <c r="Q56" s="135"/>
      <c r="R56" s="136" t="s">
        <v>29</v>
      </c>
      <c r="S56" s="137">
        <v>1044</v>
      </c>
      <c r="T56" s="132"/>
      <c r="U56" s="137"/>
    </row>
    <row r="57" spans="1:21" s="40" customFormat="1" ht="14.5" x14ac:dyDescent="0.35">
      <c r="A57" s="66"/>
      <c r="B57" s="95" t="s">
        <v>118</v>
      </c>
      <c r="C57" s="74"/>
      <c r="D57" s="175" t="s">
        <v>118</v>
      </c>
      <c r="E57" s="185" t="s">
        <v>2</v>
      </c>
      <c r="F57" s="185">
        <v>8</v>
      </c>
      <c r="G57" s="180"/>
      <c r="H57" s="179">
        <v>16.940000000000001</v>
      </c>
      <c r="I57" s="180"/>
      <c r="J57" s="215"/>
      <c r="K57" s="188">
        <v>44</v>
      </c>
      <c r="L57" s="216"/>
      <c r="M57" s="133"/>
      <c r="N57" s="133"/>
      <c r="O57" s="133"/>
      <c r="P57" s="134"/>
      <c r="Q57" s="135"/>
      <c r="R57" s="136" t="s">
        <v>29</v>
      </c>
      <c r="S57" s="137">
        <v>1045</v>
      </c>
      <c r="T57" s="132"/>
      <c r="U57" s="137"/>
    </row>
    <row r="58" spans="1:21" s="40" customFormat="1" ht="14.5" x14ac:dyDescent="0.35">
      <c r="A58" s="66"/>
      <c r="B58" s="95" t="s">
        <v>107</v>
      </c>
      <c r="C58" s="74"/>
      <c r="D58" s="175" t="s">
        <v>107</v>
      </c>
      <c r="E58" s="185" t="s">
        <v>2</v>
      </c>
      <c r="F58" s="185">
        <v>9</v>
      </c>
      <c r="G58" s="180"/>
      <c r="H58" s="179">
        <v>19.52</v>
      </c>
      <c r="I58" s="180"/>
      <c r="J58" s="215"/>
      <c r="K58" s="188">
        <v>57</v>
      </c>
      <c r="L58" s="216"/>
      <c r="M58" s="133"/>
      <c r="N58" s="133"/>
      <c r="O58" s="133"/>
      <c r="P58" s="134"/>
      <c r="Q58" s="135"/>
      <c r="R58" s="144" t="s">
        <v>29</v>
      </c>
      <c r="S58" s="145">
        <v>1061</v>
      </c>
      <c r="T58" s="132"/>
      <c r="U58" s="137"/>
    </row>
    <row r="59" spans="1:21" s="40" customFormat="1" ht="14.5" x14ac:dyDescent="0.35">
      <c r="A59" s="66"/>
      <c r="B59" s="95" t="s">
        <v>108</v>
      </c>
      <c r="C59" s="74"/>
      <c r="D59" s="175" t="s">
        <v>108</v>
      </c>
      <c r="E59" s="185" t="s">
        <v>2</v>
      </c>
      <c r="F59" s="185">
        <v>10</v>
      </c>
      <c r="G59" s="180"/>
      <c r="H59" s="179">
        <v>14.75</v>
      </c>
      <c r="I59" s="180"/>
      <c r="J59" s="215"/>
      <c r="K59" s="188">
        <v>45</v>
      </c>
      <c r="L59" s="216"/>
      <c r="M59" s="133"/>
      <c r="N59" s="133"/>
      <c r="O59" s="133"/>
      <c r="P59" s="134"/>
      <c r="Q59" s="135"/>
      <c r="R59" s="144" t="s">
        <v>29</v>
      </c>
      <c r="S59" s="145">
        <v>1051</v>
      </c>
      <c r="T59" s="132"/>
      <c r="U59" s="137"/>
    </row>
    <row r="60" spans="1:21" s="40" customFormat="1" ht="14.5" x14ac:dyDescent="0.35">
      <c r="A60" s="66"/>
      <c r="B60" s="96" t="s">
        <v>109</v>
      </c>
      <c r="C60" s="74"/>
      <c r="D60" s="175" t="s">
        <v>109</v>
      </c>
      <c r="E60" s="185" t="s">
        <v>2</v>
      </c>
      <c r="F60" s="185">
        <v>11</v>
      </c>
      <c r="G60" s="180"/>
      <c r="H60" s="179">
        <v>14.37</v>
      </c>
      <c r="I60" s="180"/>
      <c r="J60" s="215"/>
      <c r="K60" s="188">
        <v>36</v>
      </c>
      <c r="L60" s="216"/>
      <c r="M60" s="133"/>
      <c r="N60" s="133"/>
      <c r="O60" s="133"/>
      <c r="P60" s="134"/>
      <c r="Q60" s="135"/>
      <c r="R60" s="144" t="s">
        <v>29</v>
      </c>
      <c r="S60" s="146">
        <v>1059</v>
      </c>
      <c r="T60" s="132"/>
      <c r="U60" s="137"/>
    </row>
    <row r="61" spans="1:21" s="40" customFormat="1" ht="14.5" x14ac:dyDescent="0.35">
      <c r="A61" s="66"/>
      <c r="B61" s="96" t="s">
        <v>110</v>
      </c>
      <c r="C61" s="74"/>
      <c r="D61" s="175" t="s">
        <v>110</v>
      </c>
      <c r="E61" s="185" t="s">
        <v>2</v>
      </c>
      <c r="F61" s="185" t="s">
        <v>93</v>
      </c>
      <c r="G61" s="180"/>
      <c r="H61" s="179"/>
      <c r="I61" s="180"/>
      <c r="J61" s="215"/>
      <c r="K61" s="188"/>
      <c r="L61" s="216"/>
      <c r="M61" s="133"/>
      <c r="N61" s="133"/>
      <c r="O61" s="133"/>
      <c r="P61" s="134"/>
      <c r="Q61" s="135"/>
      <c r="R61" s="144"/>
      <c r="S61" s="146"/>
      <c r="T61" s="132"/>
      <c r="U61" s="137"/>
    </row>
    <row r="62" spans="1:21" s="40" customFormat="1" ht="14.5" x14ac:dyDescent="0.35">
      <c r="A62" s="66"/>
      <c r="B62" s="96" t="s">
        <v>111</v>
      </c>
      <c r="C62" s="74"/>
      <c r="D62" s="175" t="s">
        <v>111</v>
      </c>
      <c r="E62" s="185" t="s">
        <v>2</v>
      </c>
      <c r="F62" s="185" t="s">
        <v>94</v>
      </c>
      <c r="G62" s="180"/>
      <c r="H62" s="179">
        <v>1.8</v>
      </c>
      <c r="I62" s="180"/>
      <c r="J62" s="215"/>
      <c r="K62" s="188">
        <v>6.3</v>
      </c>
      <c r="L62" s="216"/>
      <c r="M62" s="133"/>
      <c r="N62" s="133"/>
      <c r="O62" s="133"/>
      <c r="P62" s="134"/>
      <c r="Q62" s="135"/>
      <c r="R62" s="144" t="s">
        <v>29</v>
      </c>
      <c r="S62" s="146" t="s">
        <v>119</v>
      </c>
      <c r="T62" s="132"/>
      <c r="U62" s="137"/>
    </row>
    <row r="63" spans="1:21" s="40" customFormat="1" ht="14.5" x14ac:dyDescent="0.35">
      <c r="A63" s="66"/>
      <c r="B63" s="97" t="s">
        <v>112</v>
      </c>
      <c r="C63" s="74"/>
      <c r="D63" s="175" t="s">
        <v>112</v>
      </c>
      <c r="E63" s="185" t="s">
        <v>2</v>
      </c>
      <c r="F63" s="185" t="s">
        <v>94</v>
      </c>
      <c r="G63" s="180"/>
      <c r="H63" s="179">
        <v>1.97</v>
      </c>
      <c r="I63" s="180"/>
      <c r="J63" s="215"/>
      <c r="K63" s="188">
        <v>7.2</v>
      </c>
      <c r="L63" s="216"/>
      <c r="M63" s="133"/>
      <c r="N63" s="133"/>
      <c r="O63" s="133"/>
      <c r="P63" s="134"/>
      <c r="Q63" s="135"/>
      <c r="R63" s="144" t="s">
        <v>29</v>
      </c>
      <c r="S63" s="146" t="s">
        <v>120</v>
      </c>
      <c r="T63" s="132"/>
      <c r="U63" s="137"/>
    </row>
    <row r="64" spans="1:21" s="40" customFormat="1" ht="14.5" x14ac:dyDescent="0.35">
      <c r="A64" s="66"/>
      <c r="B64" s="97" t="s">
        <v>115</v>
      </c>
      <c r="C64" s="74"/>
      <c r="D64" s="175" t="s">
        <v>163</v>
      </c>
      <c r="E64" s="217" t="s">
        <v>28</v>
      </c>
      <c r="F64" s="217" t="s">
        <v>116</v>
      </c>
      <c r="G64" s="218"/>
      <c r="H64" s="219">
        <v>8.25</v>
      </c>
      <c r="I64" s="218"/>
      <c r="J64" s="220"/>
      <c r="K64" s="221">
        <v>56</v>
      </c>
      <c r="L64" s="222"/>
      <c r="M64" s="133"/>
      <c r="N64" s="133"/>
      <c r="O64" s="133"/>
      <c r="P64" s="134"/>
      <c r="Q64" s="135"/>
      <c r="R64" s="136" t="s">
        <v>29</v>
      </c>
      <c r="S64" s="137">
        <v>5095</v>
      </c>
      <c r="T64" s="132"/>
      <c r="U64" s="137"/>
    </row>
    <row r="65" spans="1:21" s="40" customFormat="1" ht="14.5" x14ac:dyDescent="0.35">
      <c r="A65" s="66"/>
      <c r="B65" s="97" t="s">
        <v>113</v>
      </c>
      <c r="C65" s="74"/>
      <c r="D65" s="206" t="s">
        <v>164</v>
      </c>
      <c r="E65" s="207" t="s">
        <v>2</v>
      </c>
      <c r="F65" s="207" t="s">
        <v>114</v>
      </c>
      <c r="G65" s="211"/>
      <c r="H65" s="210">
        <v>5</v>
      </c>
      <c r="I65" s="211"/>
      <c r="J65" s="223"/>
      <c r="K65" s="224">
        <v>78</v>
      </c>
      <c r="L65" s="225"/>
      <c r="M65" s="133"/>
      <c r="N65" s="133"/>
      <c r="O65" s="133"/>
      <c r="P65" s="134"/>
      <c r="Q65" s="135"/>
      <c r="R65" s="136" t="s">
        <v>48</v>
      </c>
      <c r="S65" s="137"/>
      <c r="T65" s="132"/>
      <c r="U65" s="137"/>
    </row>
    <row r="66" spans="1:21" s="38" customFormat="1" ht="18" customHeight="1" x14ac:dyDescent="0.35">
      <c r="A66" s="92">
        <v>0</v>
      </c>
      <c r="B66" s="93"/>
      <c r="C66" s="92"/>
      <c r="D66" s="226" t="s">
        <v>171</v>
      </c>
      <c r="E66" s="227"/>
      <c r="F66" s="227"/>
      <c r="G66" s="192"/>
      <c r="H66" s="193"/>
      <c r="I66" s="192"/>
      <c r="J66" s="228"/>
      <c r="K66" s="229"/>
      <c r="L66" s="229"/>
      <c r="M66" s="138"/>
      <c r="N66" s="139"/>
      <c r="O66" s="139"/>
      <c r="P66" s="147"/>
      <c r="Q66" s="135">
        <f t="shared" ref="Q66:Q85" si="19">A66</f>
        <v>0</v>
      </c>
      <c r="R66" s="131"/>
      <c r="S66" s="132"/>
      <c r="T66" s="132"/>
      <c r="U66" s="132"/>
    </row>
    <row r="67" spans="1:21" ht="12" customHeight="1" x14ac:dyDescent="0.35">
      <c r="B67" s="59"/>
      <c r="C67" s="55"/>
      <c r="D67" s="230" t="s">
        <v>165</v>
      </c>
      <c r="E67" s="231"/>
      <c r="F67" s="231"/>
      <c r="G67" s="232"/>
      <c r="H67" s="233"/>
      <c r="I67" s="232"/>
      <c r="J67" s="234"/>
      <c r="K67" s="234"/>
      <c r="L67" s="234"/>
      <c r="M67" s="148"/>
      <c r="N67" s="148"/>
      <c r="O67" s="150"/>
      <c r="P67" s="151"/>
      <c r="Q67" s="135">
        <f t="shared" si="19"/>
        <v>0</v>
      </c>
      <c r="R67" s="152"/>
      <c r="S67" s="142"/>
      <c r="T67" s="142"/>
      <c r="U67" s="142"/>
    </row>
    <row r="68" spans="1:21" ht="12" customHeight="1" x14ac:dyDescent="0.35">
      <c r="B68" s="59"/>
      <c r="C68" s="55"/>
      <c r="D68" s="235" t="s">
        <v>169</v>
      </c>
      <c r="E68" s="231"/>
      <c r="F68" s="231"/>
      <c r="G68" s="232"/>
      <c r="H68" s="233"/>
      <c r="I68" s="232"/>
      <c r="J68" s="234"/>
      <c r="K68" s="234"/>
      <c r="L68" s="234"/>
      <c r="M68" s="148"/>
      <c r="N68" s="148"/>
      <c r="O68" s="150"/>
      <c r="P68" s="151"/>
      <c r="Q68" s="135"/>
      <c r="R68" s="152"/>
      <c r="S68" s="142"/>
      <c r="T68" s="142"/>
      <c r="U68" s="142"/>
    </row>
    <row r="69" spans="1:21" ht="12" customHeight="1" x14ac:dyDescent="0.35">
      <c r="B69" s="59"/>
      <c r="C69" s="55"/>
      <c r="D69" s="235" t="s">
        <v>166</v>
      </c>
      <c r="E69" s="231"/>
      <c r="F69" s="236"/>
      <c r="G69" s="232"/>
      <c r="H69" s="233"/>
      <c r="I69" s="232"/>
      <c r="J69" s="234"/>
      <c r="K69" s="234"/>
      <c r="L69" s="234"/>
      <c r="M69" s="148"/>
      <c r="N69" s="148"/>
      <c r="O69" s="150"/>
      <c r="P69" s="151"/>
      <c r="Q69" s="135"/>
      <c r="R69" s="152"/>
      <c r="S69" s="142"/>
      <c r="T69" s="142"/>
      <c r="U69" s="142"/>
    </row>
    <row r="70" spans="1:21" ht="12" customHeight="1" x14ac:dyDescent="0.35">
      <c r="B70" s="59"/>
      <c r="C70" s="55"/>
      <c r="D70" s="235" t="s">
        <v>168</v>
      </c>
      <c r="E70" s="231"/>
      <c r="F70" s="231"/>
      <c r="G70" s="232"/>
      <c r="H70" s="233"/>
      <c r="I70" s="232"/>
      <c r="J70" s="234"/>
      <c r="K70" s="234"/>
      <c r="L70" s="234"/>
      <c r="M70" s="148"/>
      <c r="N70" s="148"/>
      <c r="O70" s="150"/>
      <c r="P70" s="151"/>
      <c r="Q70" s="135"/>
      <c r="R70" s="152"/>
      <c r="S70" s="142"/>
      <c r="T70" s="142"/>
      <c r="U70" s="142"/>
    </row>
    <row r="71" spans="1:21" ht="12" customHeight="1" x14ac:dyDescent="0.35">
      <c r="A71" s="48">
        <v>0</v>
      </c>
      <c r="B71" s="59"/>
      <c r="C71" s="55"/>
      <c r="D71" s="235" t="s">
        <v>167</v>
      </c>
      <c r="E71" s="236"/>
      <c r="F71" s="236"/>
      <c r="G71" s="232"/>
      <c r="H71" s="233"/>
      <c r="I71" s="232"/>
      <c r="J71" s="234"/>
      <c r="K71" s="234"/>
      <c r="L71" s="234"/>
      <c r="M71" s="148"/>
      <c r="N71" s="148"/>
      <c r="O71" s="150"/>
      <c r="P71" s="151"/>
      <c r="Q71" s="135">
        <f t="shared" si="19"/>
        <v>0</v>
      </c>
      <c r="R71" s="152"/>
      <c r="S71" s="142"/>
      <c r="T71" s="142"/>
      <c r="U71" s="142"/>
    </row>
    <row r="72" spans="1:21" ht="12" customHeight="1" x14ac:dyDescent="0.35">
      <c r="A72" s="48">
        <v>0</v>
      </c>
      <c r="B72" s="59"/>
      <c r="C72" s="55"/>
      <c r="D72" s="235"/>
      <c r="E72" s="236"/>
      <c r="F72" s="236"/>
      <c r="G72" s="232"/>
      <c r="H72" s="233"/>
      <c r="I72" s="232"/>
      <c r="J72" s="234"/>
      <c r="K72" s="234"/>
      <c r="L72" s="234"/>
      <c r="M72" s="148"/>
      <c r="N72" s="148"/>
      <c r="O72" s="150"/>
      <c r="P72" s="151"/>
      <c r="Q72" s="135">
        <f t="shared" si="19"/>
        <v>0</v>
      </c>
      <c r="R72" s="152"/>
      <c r="S72" s="142"/>
      <c r="T72" s="142"/>
      <c r="U72" s="142"/>
    </row>
    <row r="73" spans="1:21" s="47" customFormat="1" ht="12" customHeight="1" x14ac:dyDescent="0.35">
      <c r="A73" s="49">
        <v>0</v>
      </c>
      <c r="B73" s="60"/>
      <c r="C73" s="56"/>
      <c r="D73" s="226" t="s">
        <v>170</v>
      </c>
      <c r="E73" s="237"/>
      <c r="F73" s="237"/>
      <c r="G73" s="238"/>
      <c r="H73" s="239"/>
      <c r="I73" s="238"/>
      <c r="J73" s="240"/>
      <c r="K73" s="240"/>
      <c r="L73" s="240"/>
      <c r="M73" s="154"/>
      <c r="N73" s="154"/>
      <c r="O73" s="155"/>
      <c r="P73" s="153"/>
      <c r="Q73" s="135">
        <f t="shared" si="19"/>
        <v>0</v>
      </c>
      <c r="R73" s="156"/>
      <c r="S73" s="157"/>
      <c r="T73" s="157"/>
      <c r="U73" s="157"/>
    </row>
    <row r="74" spans="1:21" ht="12" customHeight="1" x14ac:dyDescent="0.35">
      <c r="A74" s="48">
        <v>0</v>
      </c>
      <c r="B74" s="59"/>
      <c r="C74" s="55"/>
      <c r="D74" s="230" t="s">
        <v>174</v>
      </c>
      <c r="E74" s="241"/>
      <c r="F74" s="241"/>
      <c r="G74" s="232"/>
      <c r="H74" s="241"/>
      <c r="I74" s="232"/>
      <c r="J74" s="234"/>
      <c r="K74" s="234"/>
      <c r="L74" s="234"/>
      <c r="M74" s="148"/>
      <c r="N74" s="148"/>
      <c r="O74" s="150"/>
      <c r="P74" s="151"/>
      <c r="Q74" s="135"/>
      <c r="R74" s="152"/>
      <c r="S74" s="142"/>
      <c r="T74" s="142"/>
      <c r="U74" s="142"/>
    </row>
    <row r="75" spans="1:21" ht="12" customHeight="1" x14ac:dyDescent="0.35">
      <c r="A75" s="48">
        <v>0</v>
      </c>
      <c r="B75" s="59"/>
      <c r="C75" s="55"/>
      <c r="D75" s="230" t="s">
        <v>172</v>
      </c>
      <c r="E75" s="236"/>
      <c r="F75" s="236"/>
      <c r="G75" s="232"/>
      <c r="H75" s="233"/>
      <c r="I75" s="232"/>
      <c r="J75" s="234"/>
      <c r="K75" s="234"/>
      <c r="L75" s="234"/>
      <c r="M75" s="148"/>
      <c r="N75" s="148"/>
      <c r="O75" s="150"/>
      <c r="P75" s="151"/>
      <c r="Q75" s="135"/>
      <c r="R75" s="152"/>
      <c r="S75" s="142"/>
      <c r="T75" s="142"/>
      <c r="U75" s="142"/>
    </row>
    <row r="76" spans="1:21" ht="12" customHeight="1" x14ac:dyDescent="0.35">
      <c r="B76" s="59"/>
      <c r="C76" s="55"/>
      <c r="D76" s="230" t="s">
        <v>173</v>
      </c>
      <c r="E76" s="236"/>
      <c r="F76" s="236"/>
      <c r="G76" s="232"/>
      <c r="H76" s="233"/>
      <c r="I76" s="232"/>
      <c r="J76" s="234"/>
      <c r="K76" s="234"/>
      <c r="L76" s="234"/>
      <c r="M76" s="148"/>
      <c r="N76" s="148"/>
      <c r="O76" s="150"/>
      <c r="P76" s="151"/>
      <c r="Q76" s="135"/>
      <c r="R76" s="152"/>
      <c r="S76" s="142"/>
      <c r="T76" s="142"/>
      <c r="U76" s="142"/>
    </row>
    <row r="77" spans="1:21" ht="12" customHeight="1" x14ac:dyDescent="0.35">
      <c r="A77" s="48">
        <v>0</v>
      </c>
      <c r="B77" s="59"/>
      <c r="C77" s="55"/>
      <c r="D77" s="235"/>
      <c r="E77" s="236"/>
      <c r="F77" s="236"/>
      <c r="G77" s="232"/>
      <c r="H77" s="233"/>
      <c r="I77" s="232"/>
      <c r="J77" s="234"/>
      <c r="K77" s="234"/>
      <c r="L77" s="234"/>
      <c r="M77" s="148"/>
      <c r="N77" s="148"/>
      <c r="O77" s="150"/>
      <c r="P77" s="151"/>
      <c r="Q77" s="135">
        <f t="shared" si="19"/>
        <v>0</v>
      </c>
      <c r="R77" s="152"/>
      <c r="S77" s="142"/>
      <c r="T77" s="142"/>
      <c r="U77" s="142"/>
    </row>
    <row r="78" spans="1:21" s="47" customFormat="1" ht="12" customHeight="1" x14ac:dyDescent="0.35">
      <c r="A78" s="49">
        <v>0</v>
      </c>
      <c r="B78" s="60"/>
      <c r="C78" s="56"/>
      <c r="D78" s="242"/>
      <c r="E78" s="237"/>
      <c r="F78" s="237"/>
      <c r="G78" s="238"/>
      <c r="H78" s="239"/>
      <c r="I78" s="238"/>
      <c r="J78" s="240"/>
      <c r="K78" s="240"/>
      <c r="L78" s="240"/>
      <c r="M78" s="154"/>
      <c r="N78" s="154"/>
      <c r="O78" s="155"/>
      <c r="P78" s="153"/>
      <c r="Q78" s="135">
        <f t="shared" si="19"/>
        <v>0</v>
      </c>
      <c r="R78" s="156"/>
      <c r="S78" s="157"/>
      <c r="T78" s="157"/>
      <c r="U78" s="157"/>
    </row>
    <row r="79" spans="1:21" s="58" customFormat="1" ht="12" customHeight="1" x14ac:dyDescent="0.35">
      <c r="A79" s="57">
        <v>0</v>
      </c>
      <c r="B79" s="61"/>
      <c r="C79" s="62"/>
      <c r="D79" s="158" t="s">
        <v>175</v>
      </c>
      <c r="E79" s="243"/>
      <c r="F79" s="243"/>
      <c r="G79" s="244"/>
      <c r="H79" s="245"/>
      <c r="I79" s="244"/>
      <c r="J79" s="244"/>
      <c r="K79" s="244"/>
      <c r="L79" s="244"/>
      <c r="M79" s="161"/>
      <c r="N79" s="160"/>
      <c r="O79" s="162"/>
      <c r="P79" s="159"/>
      <c r="Q79" s="135">
        <f t="shared" si="19"/>
        <v>0</v>
      </c>
      <c r="R79" s="163"/>
      <c r="S79" s="164"/>
      <c r="T79" s="164"/>
      <c r="U79" s="164"/>
    </row>
    <row r="80" spans="1:21" ht="12" customHeight="1" x14ac:dyDescent="0.35">
      <c r="A80" s="48">
        <v>0</v>
      </c>
      <c r="B80" s="59"/>
      <c r="C80" s="55"/>
      <c r="D80" s="165" t="s">
        <v>176</v>
      </c>
      <c r="E80" s="236"/>
      <c r="F80" s="236"/>
      <c r="G80" s="232"/>
      <c r="H80" s="245"/>
      <c r="I80" s="232"/>
      <c r="J80" s="232"/>
      <c r="K80" s="232"/>
      <c r="L80" s="232"/>
      <c r="M80" s="149"/>
      <c r="N80" s="148"/>
      <c r="O80" s="150"/>
      <c r="P80" s="151"/>
      <c r="Q80" s="135">
        <f t="shared" si="19"/>
        <v>0</v>
      </c>
      <c r="R80" s="152"/>
      <c r="S80" s="142"/>
      <c r="T80" s="142"/>
      <c r="U80" s="142"/>
    </row>
    <row r="81" spans="1:21" ht="12" customHeight="1" x14ac:dyDescent="0.35">
      <c r="A81" s="48">
        <v>0</v>
      </c>
      <c r="B81" s="59"/>
      <c r="C81" s="55"/>
      <c r="D81" s="235"/>
      <c r="E81" s="236"/>
      <c r="F81" s="236"/>
      <c r="G81" s="232"/>
      <c r="H81" s="245"/>
      <c r="I81" s="232"/>
      <c r="J81" s="232"/>
      <c r="K81" s="232"/>
      <c r="L81" s="232"/>
      <c r="M81" s="149"/>
      <c r="N81" s="148"/>
      <c r="O81" s="150"/>
      <c r="P81" s="151"/>
      <c r="Q81" s="135">
        <f t="shared" si="19"/>
        <v>0</v>
      </c>
      <c r="R81" s="152"/>
      <c r="S81" s="142"/>
      <c r="T81" s="142"/>
      <c r="U81" s="142"/>
    </row>
    <row r="82" spans="1:21" ht="12" customHeight="1" x14ac:dyDescent="0.25">
      <c r="A82" s="48">
        <v>0</v>
      </c>
      <c r="B82" s="59"/>
      <c r="C82" s="55"/>
      <c r="G82" s="52"/>
      <c r="H82" s="98"/>
      <c r="I82" s="52"/>
      <c r="J82" s="52"/>
      <c r="K82" s="52"/>
      <c r="L82" s="52"/>
      <c r="M82" s="51"/>
      <c r="Q82" s="43">
        <f t="shared" si="19"/>
        <v>0</v>
      </c>
    </row>
    <row r="83" spans="1:21" x14ac:dyDescent="0.25">
      <c r="A83" s="48">
        <v>0</v>
      </c>
      <c r="Q83" s="43">
        <f t="shared" si="19"/>
        <v>0</v>
      </c>
    </row>
    <row r="84" spans="1:21" x14ac:dyDescent="0.25">
      <c r="A84" s="48">
        <v>0</v>
      </c>
      <c r="Q84" s="43">
        <f t="shared" si="19"/>
        <v>0</v>
      </c>
    </row>
    <row r="85" spans="1:21" x14ac:dyDescent="0.25">
      <c r="A85" s="48">
        <v>0</v>
      </c>
      <c r="Q85" s="43">
        <f t="shared" si="19"/>
        <v>0</v>
      </c>
    </row>
    <row r="86" spans="1:21" x14ac:dyDescent="0.25">
      <c r="A86" s="49"/>
    </row>
  </sheetData>
  <sheetProtection sheet="1" objects="1" scenarios="1"/>
  <hyperlinks>
    <hyperlink ref="D80" r:id="rId1"/>
  </hyperlinks>
  <printOptions horizontalCentered="1" verticalCentered="1"/>
  <pageMargins left="0.31496062992125984" right="0.31496062992125984" top="0.94488188976377963" bottom="0.15748031496062992" header="0.31496062992125984" footer="0.23622047244094491"/>
  <pageSetup paperSize="9" fitToHeight="0" orientation="landscape" verticalDpi="300" r:id="rId2"/>
  <headerFooter>
    <oddHeader>&amp;L&amp;G&amp;C&amp;"-,Gras"&amp;14
                  Calculateur Marge-Brute SOJA-BIO&amp;R&amp;G</oddHeader>
    <oddFooter>&amp;C- 4 -</oddFooter>
  </headerFooter>
  <colBreaks count="1" manualBreakCount="1">
    <brk id="12" max="75" man="1"/>
  </colBreaks>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7"/>
  <sheetViews>
    <sheetView workbookViewId="0">
      <selection activeCell="A18" sqref="A18"/>
    </sheetView>
  </sheetViews>
  <sheetFormatPr baseColWidth="10" defaultRowHeight="14.5" x14ac:dyDescent="0.35"/>
  <cols>
    <col min="1" max="1" width="21.26953125" bestFit="1" customWidth="1"/>
  </cols>
  <sheetData>
    <row r="5" spans="1:2" x14ac:dyDescent="0.35">
      <c r="A5" s="3" t="s">
        <v>208</v>
      </c>
      <c r="B5" s="3"/>
    </row>
    <row r="6" spans="1:2" x14ac:dyDescent="0.35">
      <c r="A6" s="1" t="s">
        <v>209</v>
      </c>
      <c r="B6" s="1">
        <v>1</v>
      </c>
    </row>
    <row r="7" spans="1:2" x14ac:dyDescent="0.35">
      <c r="A7" s="2" t="s">
        <v>210</v>
      </c>
      <c r="B7" s="2">
        <v>2</v>
      </c>
    </row>
    <row r="10" spans="1:2" x14ac:dyDescent="0.35">
      <c r="A10" s="3" t="s">
        <v>211</v>
      </c>
      <c r="B10" s="3"/>
    </row>
    <row r="11" spans="1:2" x14ac:dyDescent="0.35">
      <c r="A11" s="1" t="s">
        <v>212</v>
      </c>
      <c r="B11" s="1" t="s">
        <v>79</v>
      </c>
    </row>
    <row r="12" spans="1:2" x14ac:dyDescent="0.35">
      <c r="A12" s="2" t="s">
        <v>213</v>
      </c>
      <c r="B12" s="2" t="s">
        <v>80</v>
      </c>
    </row>
    <row r="15" spans="1:2" x14ac:dyDescent="0.35">
      <c r="A15" t="s">
        <v>214</v>
      </c>
    </row>
    <row r="16" spans="1:2" x14ac:dyDescent="0.35">
      <c r="A16" t="s">
        <v>215</v>
      </c>
    </row>
    <row r="17" spans="1:1" x14ac:dyDescent="0.35">
      <c r="A17" t="s">
        <v>216</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44</vt:i4>
      </vt:variant>
    </vt:vector>
  </HeadingPairs>
  <TitlesOfParts>
    <vt:vector size="49" baseType="lpstr">
      <vt:lpstr>Einleitung</vt:lpstr>
      <vt:lpstr>Annahmen</vt:lpstr>
      <vt:lpstr>Berechnungen</vt:lpstr>
      <vt:lpstr>Anhang Maschinen &amp; Arbeiten</vt:lpstr>
      <vt:lpstr>Q</vt:lpstr>
      <vt:lpstr>BesitzMieteDritte</vt:lpstr>
      <vt:lpstr>'Anhang Maschinen &amp; Arbeiten'!colAkhEM</vt:lpstr>
      <vt:lpstr>'Anhang Maschinen &amp; Arbeiten'!colAkhL</vt:lpstr>
      <vt:lpstr>'Anhang Maschinen &amp; Arbeiten'!colArbeitsart</vt:lpstr>
      <vt:lpstr>'Anhang Maschinen &amp; Arbeiten'!colD1</vt:lpstr>
      <vt:lpstr>'Anhang Maschinen &amp; Arbeiten'!colEinheitD</vt:lpstr>
      <vt:lpstr>'Anhang Maschinen &amp; Arbeiten'!colEinheitF</vt:lpstr>
      <vt:lpstr>'Anhang Maschinen &amp; Arbeiten'!colF1</vt:lpstr>
      <vt:lpstr>'Anhang Maschinen &amp; Arbeiten'!colKostenL</vt:lpstr>
      <vt:lpstr>'Anhang Maschinen &amp; Arbeiten'!colKostenM</vt:lpstr>
      <vt:lpstr>'Anhang Maschinen &amp; Arbeiten'!colNameD</vt:lpstr>
      <vt:lpstr>'Anhang Maschinen &amp; Arbeiten'!colNameF</vt:lpstr>
      <vt:lpstr>'Anhang Maschinen &amp; Arbeiten'!colNummer</vt:lpstr>
      <vt:lpstr>'Anhang Maschinen &amp; Arbeiten'!colThEM</vt:lpstr>
      <vt:lpstr>'Anhang Maschinen &amp; Arbeiten'!colThL</vt:lpstr>
      <vt:lpstr>'Anhang Maschinen &amp; Arbeiten'!colVariableKostenGeräteE</vt:lpstr>
      <vt:lpstr>'Anhang Maschinen &amp; Arbeiten'!colVariableKostenZugkraftEM</vt:lpstr>
      <vt:lpstr>'Anhang Maschinen &amp; Arbeiten'!colVariableKostenZugkraftL</vt:lpstr>
      <vt:lpstr>'Anhang Maschinen &amp; Arbeiten'!Druckbereich</vt:lpstr>
      <vt:lpstr>Annahmen!Druckbereich</vt:lpstr>
      <vt:lpstr>Berechnungen!Druckbereich</vt:lpstr>
      <vt:lpstr>'Anhang Maschinen &amp; Arbeiten'!Drucktitel</vt:lpstr>
      <vt:lpstr>entretien_fumure</vt:lpstr>
      <vt:lpstr>GPS</vt:lpstr>
      <vt:lpstr>main_doeuvre</vt:lpstr>
      <vt:lpstr>récolte</vt:lpstr>
      <vt:lpstr>'Anhang Maschinen &amp; Arbeiten'!rngErklärungenF</vt:lpstr>
      <vt:lpstr>'Anhang Maschinen &amp; Arbeiten'!rngTitelD</vt:lpstr>
      <vt:lpstr>'Anhang Maschinen &amp; Arbeiten'!rngTitelF</vt:lpstr>
      <vt:lpstr>'Anhang Maschinen &amp; Arbeiten'!rowD1</vt:lpstr>
      <vt:lpstr>'Anhang Maschinen &amp; Arbeiten'!rowF1</vt:lpstr>
      <vt:lpstr>'Anhang Maschinen &amp; Arbeiten'!rowF2</vt:lpstr>
      <vt:lpstr>sarcleuse</vt:lpstr>
      <vt:lpstr>semi</vt:lpstr>
      <vt:lpstr>sol_et_semi</vt:lpstr>
      <vt:lpstr>supplement_GPS</vt:lpstr>
      <vt:lpstr>supplément_GPS</vt:lpstr>
      <vt:lpstr>Traktor</vt:lpstr>
      <vt:lpstr>'Anhang Maschinen &amp; Arbeiten'!travaux_100</vt:lpstr>
      <vt:lpstr>'Anhang Maschinen &amp; Arbeiten'!travaux_200</vt:lpstr>
      <vt:lpstr>'Anhang Maschinen &amp; Arbeiten'!travaux_300</vt:lpstr>
      <vt:lpstr>'Anhang Maschinen &amp; Arbeiten'!travaux_400</vt:lpstr>
      <vt:lpstr>'Anhang Maschinen &amp; Arbeiten'!travaux_700</vt:lpstr>
      <vt:lpstr>'Anhang Maschinen &amp; Arbeiten'!travaux_800</vt:lpstr>
    </vt:vector>
  </TitlesOfParts>
  <Company>AGRIDEA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Gascard Benoît-Denis</dc:creator>
  <cp:lastModifiedBy>Schmutz Res</cp:lastModifiedBy>
  <cp:lastPrinted>2019-03-20T13:28:16Z</cp:lastPrinted>
  <dcterms:created xsi:type="dcterms:W3CDTF">2018-04-03T12:00:08Z</dcterms:created>
  <dcterms:modified xsi:type="dcterms:W3CDTF">2019-03-26T11:15:40Z</dcterms:modified>
</cp:coreProperties>
</file>