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fibl.ch\files\SuisseRomande\Staff\HeviaRebecca\PROJETS\VulgBettBio\Marges Brutes\Calculateur\"/>
    </mc:Choice>
  </mc:AlternateContent>
  <xr:revisionPtr revIDLastSave="0" documentId="13_ncr:1_{8323278A-5075-405B-9106-967AEE458627}" xr6:coauthVersionLast="47" xr6:coauthVersionMax="47" xr10:uidLastSave="{00000000-0000-0000-0000-000000000000}"/>
  <bookViews>
    <workbookView xWindow="-108" yWindow="-108" windowWidth="23256" windowHeight="12456" xr2:uid="{52974135-9002-4044-BA07-5686CB3E8DCB}"/>
  </bookViews>
  <sheets>
    <sheet name="DB-MB" sheetId="71" r:id="rId1"/>
    <sheet name="Maschinen-Machines" sheetId="72" r:id="rId2"/>
    <sheet name="Maschinenliste-Liste Machines" sheetId="76" state="hidden" r:id="rId3"/>
    <sheet name="Liste" sheetId="75" state="hidden" r:id="rId4"/>
    <sheet name="Zusatzinfos-Infos suppl." sheetId="37" state="hidden" r:id="rId5"/>
    <sheet name="Text" sheetId="78" state="hidden" r:id="rId6"/>
    <sheet name="modDBKAT10" sheetId="38" state="veryHidden" r:id="rId7"/>
  </sheets>
  <externalReferences>
    <externalReference r:id="rId8"/>
    <externalReference r:id="rId9"/>
    <externalReference r:id="rId10"/>
  </externalReferences>
  <definedNames>
    <definedName name="a_Elektrizitaetpreis">[1]Annahmen!$C$35</definedName>
    <definedName name="a_Laubhefter">[1]Annahmen!$C$69</definedName>
    <definedName name="a_pr_Stahlband_Holzbuendel">[1]Annahmen!$C$70</definedName>
    <definedName name="AG">#REF!</definedName>
    <definedName name="Anbaubeitrag_AB_EWE">#REF!</definedName>
    <definedName name="Beschreibung">#REF!</definedName>
    <definedName name="BFF">#REF!</definedName>
    <definedName name="BioAcker">#REF!</definedName>
    <definedName name="BioübrigeLN">#REF!</definedName>
    <definedName name="Buntbrache">#REF!</definedName>
    <definedName name="colAkhEM" localSheetId="2">'Maschinenliste-Liste Machines'!$I:$I</definedName>
    <definedName name="colAkhL" localSheetId="2">'Maschinenliste-Liste Machines'!$M:$M</definedName>
    <definedName name="colArbeitsart" localSheetId="2">'Maschinenliste-Liste Machines'!$O:$O</definedName>
    <definedName name="colD1" localSheetId="2">'Maschinenliste-Liste Machines'!#REF!</definedName>
    <definedName name="colD1" localSheetId="4">'Zusatzinfos-Infos suppl.'!#REF!</definedName>
    <definedName name="colD1">#REF!</definedName>
    <definedName name="colEinheitD" localSheetId="2">'Maschinenliste-Liste Machines'!#REF!</definedName>
    <definedName name="colEinheitF" localSheetId="2">'Maschinenliste-Liste Machines'!$C:$C</definedName>
    <definedName name="colF1" localSheetId="2">'Maschinenliste-Liste Machines'!$B:$C</definedName>
    <definedName name="colF1" localSheetId="4">'Zusatzinfos-Infos suppl.'!#REF!</definedName>
    <definedName name="colF1">#REF!</definedName>
    <definedName name="colKostenL" localSheetId="2">'Maschinenliste-Liste Machines'!$K:$K</definedName>
    <definedName name="colKostenM" localSheetId="2">'Maschinenliste-Liste Machines'!$G:$G</definedName>
    <definedName name="colNameD" localSheetId="2">'Maschinenliste-Liste Machines'!#REF!</definedName>
    <definedName name="colNameF" localSheetId="2">'Maschinenliste-Liste Machines'!$B:$B</definedName>
    <definedName name="colNummer" localSheetId="2">'Maschinenliste-Liste Machines'!$A:$A</definedName>
    <definedName name="colThEM" localSheetId="2">'Maschinenliste-Liste Machines'!$J:$J</definedName>
    <definedName name="colThL" localSheetId="2">'Maschinenliste-Liste Machines'!$N:$N</definedName>
    <definedName name="colTraktor" localSheetId="2">'Maschinenliste-Liste Machines'!$D:$D</definedName>
    <definedName name="colUA1" localSheetId="4">'Zusatzinfos-Infos suppl.'!#REF!</definedName>
    <definedName name="colVariableKostenGeräteE" localSheetId="2">'Maschinenliste-Liste Machines'!$F:$F</definedName>
    <definedName name="colVariableKostenZugkraftEM" localSheetId="2">'Maschinenliste-Liste Machines'!$E:$E</definedName>
    <definedName name="colVariableKostenZugkraftL" localSheetId="2">'Maschinenliste-Liste Machines'!$L:$L</definedName>
    <definedName name="EHLager">#REF!</definedName>
    <definedName name="EinstellungenBlatt">#REF!</definedName>
    <definedName name="Engrais">'Maschinenliste-Liste Machines'!$B$46:$B$48</definedName>
    <definedName name="EngraisCou">'Maschinenliste-Liste Machines'!$A$46:$M$48</definedName>
    <definedName name="entr">Liste!$B$4</definedName>
    <definedName name="erer">#REF!</definedName>
    <definedName name="Extensivwiese">#REF!</definedName>
    <definedName name="Extenso">#REF!</definedName>
    <definedName name="FumLis">'Maschinenliste-Liste Machines'!$B$49:$B$62</definedName>
    <definedName name="FumLisCou">'Maschinenliste-Liste Machines'!$A$49:$O$62</definedName>
    <definedName name="Futterraps">#REF!</definedName>
    <definedName name="GMF">#REF!</definedName>
    <definedName name="HagelAcker">#REF!</definedName>
    <definedName name="HagelGrünland">#REF!</definedName>
    <definedName name="hAnsatzLohnarbeit" localSheetId="2">'Maschinenliste-Liste Machines'!$E$107</definedName>
    <definedName name="Hecke">#REF!</definedName>
    <definedName name="hers">'Maschinenliste-Liste Machines'!$B$37:$B$39</definedName>
    <definedName name="HersCou">'Maschinenliste-Liste Machines'!$A$37:$O$39</definedName>
    <definedName name="HideCol">#REF!</definedName>
    <definedName name="HideColDE">#REF!</definedName>
    <definedName name="HideColFR">#REF!</definedName>
    <definedName name="HideRowDE">#REF!</definedName>
    <definedName name="HideRowFR">#REF!</definedName>
    <definedName name="Hofdg_BioFB">#REF!</definedName>
    <definedName name="Hofdg_BioHF">#REF!</definedName>
    <definedName name="Hofdg_BioLeg">#REF!</definedName>
    <definedName name="Hofdg_BioZR">#REF!</definedName>
    <definedName name="Hofdg_IPFB">#REF!</definedName>
    <definedName name="Hofdg_IPHF">#REF!</definedName>
    <definedName name="Hofdg_IPLeg">#REF!</definedName>
    <definedName name="Hofdg_IPZR">#REF!</definedName>
    <definedName name="Hofdg_konv">[2]Kosten!$H$49</definedName>
    <definedName name="Hofdg_konvFB">#REF!</definedName>
    <definedName name="Hofdg_konvHF">#REF!</definedName>
    <definedName name="Hofdg_konvLeg">#REF!</definedName>
    <definedName name="Hofdg_konvZR">#REF!</definedName>
    <definedName name="IG_Dinkel">#REF!</definedName>
    <definedName name="_xlnm.Print_Titles" localSheetId="2">'Maschinenliste-Liste Machines'!#REF!</definedName>
    <definedName name="Index" localSheetId="2">'Maschinenliste-Liste Machines'!#REF!</definedName>
    <definedName name="K_PREIS">#REF!</definedName>
    <definedName name="KLB">#REF!</definedName>
    <definedName name="KLB_Futterbau">#REF!</definedName>
    <definedName name="Kontrollbeiträge_Obst_IP">#REF!</definedName>
    <definedName name="Lagerdauer">#REF!</definedName>
    <definedName name="Lagerkosten">#REF!</definedName>
    <definedName name="Lagerschwund">#REF!</definedName>
    <definedName name="litsem">'Maschinenliste-Liste Machines'!$B$22:$B$30</definedName>
    <definedName name="LitSemCou">'Maschinenliste-Liste Machines'!$A$22:$K$30</definedName>
    <definedName name="loc">Liste!$B$3</definedName>
    <definedName name="Mg_Preis">#REF!</definedName>
    <definedName name="modeUse">Liste!$B$2:$B$4</definedName>
    <definedName name="N_PREIS">#REF!</definedName>
    <definedName name="N_PREIS_Raps">#REF!</definedName>
    <definedName name="nEngrais">'Maschinenliste-Liste Machines'!$A$46:$A$48</definedName>
    <definedName name="nFumLis">'Maschinenliste-Liste Machines'!$A$49:$A$62</definedName>
    <definedName name="Nhers">'Maschinenliste-Liste Machines'!$A$37:$A$39</definedName>
    <definedName name="nLitSem">'Maschinenliste-Liste Machines'!$A$22:$A$30</definedName>
    <definedName name="nPulv">'Maschinenliste-Liste Machines'!$A$64:$A$67</definedName>
    <definedName name="nRec">'Maschinenliste-Liste Machines'!$A$69:$A$71</definedName>
    <definedName name="nSarcl">'Maschinenliste-Liste Machines'!$A$40:$A$44</definedName>
    <definedName name="nSemis">'Maschinenliste-Liste Machines'!$A$33:$A$34</definedName>
    <definedName name="ntrac">'Maschinenliste-Liste Machines'!$A$79:$A$104</definedName>
    <definedName name="nTransp">'Maschinenliste-Liste Machines'!$A$73:$A$74</definedName>
    <definedName name="nTravsol">'Maschinenliste-Liste Machines'!$A$7:$A$30</definedName>
    <definedName name="nützlinge">#REF!</definedName>
    <definedName name="ÖLN">#REF!</definedName>
    <definedName name="Ölsaatenbeitrag">#REF!</definedName>
    <definedName name="P_PREIS">#REF!</definedName>
    <definedName name="prop">Liste!$B$2</definedName>
    <definedName name="pulv">'Maschinenliste-Liste Machines'!$B$64:$B$67</definedName>
    <definedName name="PulvCou">'Maschinenliste-Liste Machines'!$A$64:$O$67</definedName>
    <definedName name="rdPr_d_Tabelle">#REF!</definedName>
    <definedName name="rec">'Maschinenliste-Liste Machines'!$B$69:$B$71</definedName>
    <definedName name="RecCou">'Maschinenliste-Liste Machines'!$A$69:$O$71</definedName>
    <definedName name="rngErklärungenD" localSheetId="2">'Maschinenliste-Liste Machines'!#REF!</definedName>
    <definedName name="rngErklärungenF" localSheetId="2">'Maschinenliste-Liste Machines'!#REF!</definedName>
    <definedName name="rngTitelD" localSheetId="2">'Maschinenliste-Liste Machines'!$2:$5</definedName>
    <definedName name="rngTitelF" localSheetId="2">'Maschinenliste-Liste Machines'!#REF!</definedName>
    <definedName name="Rotationsbrache">#REF!</definedName>
    <definedName name="rowD1" localSheetId="2">'Maschinenliste-Liste Machines'!$2:$5</definedName>
    <definedName name="rowD1">#REF!</definedName>
    <definedName name="rowD2" localSheetId="2">'Maschinenliste-Liste Machines'!#REF!</definedName>
    <definedName name="rowF1" localSheetId="2">'Maschinenliste-Liste Machines'!#REF!</definedName>
    <definedName name="rowF1">#REF!</definedName>
    <definedName name="rowF2" localSheetId="2">'Maschinenliste-Liste Machines'!#REF!</definedName>
    <definedName name="sarcl">'Maschinenliste-Liste Machines'!$B$40:$B$44</definedName>
    <definedName name="SarclCou">'Maschinenliste-Liste Machines'!$A$40:$O$44</definedName>
    <definedName name="Semis">'Maschinenliste-Liste Machines'!$B$33:$B$34</definedName>
    <definedName name="SemisCou">'Maschinenliste-Liste Machines'!$A$33:$O$34</definedName>
    <definedName name="solver_lin" localSheetId="4" hidden="1">0</definedName>
    <definedName name="solver_num" localSheetId="4" hidden="1">0</definedName>
    <definedName name="solver_opt" localSheetId="4" hidden="1">'Zusatzinfos-Infos suppl.'!#REF!</definedName>
    <definedName name="solver_typ" localSheetId="4" hidden="1">1</definedName>
    <definedName name="solver_val" localSheetId="4" hidden="1">0</definedName>
    <definedName name="TKG">#REF!</definedName>
    <definedName name="tracCou">'Maschinenliste-Liste Machines'!$A$79:$G$104</definedName>
    <definedName name="tract">'Maschinenliste-Liste Machines'!$B$79:$B$104</definedName>
    <definedName name="Traktor" localSheetId="2">'Maschinenliste-Liste Machines'!$D$79:$E$104</definedName>
    <definedName name="transp">'Maschinenliste-Liste Machines'!$B$73:$B$74</definedName>
    <definedName name="TranspCou">'Maschinenliste-Liste Machines'!$A$73:$O$74</definedName>
    <definedName name="travsol">'Maschinenliste-Liste Machines'!$B$7:$B$16</definedName>
    <definedName name="travSolCou">'Maschinenliste-Liste Machines'!$A$7:$K$16</definedName>
    <definedName name="Trockengras_lose">#REF!</definedName>
    <definedName name="Verwertungsbeitrag">[3]Leistungen!#REF!</definedName>
    <definedName name="VSB">#REF!</definedName>
    <definedName name="VSB_Ackerbau">#REF!</definedName>
    <definedName name="VSB_Futterbau">#REF!</definedName>
    <definedName name="Waaglohn">#REF!</definedName>
    <definedName name="wi_Wiese">#REF!</definedName>
    <definedName name="Zinsanspruch">#REF!</definedName>
    <definedName name="Zinsdauer">#REF!</definedName>
    <definedName name="_xlnm.Print_Area" localSheetId="0">'DB-MB'!$A$1:$L$74</definedName>
    <definedName name="_xlnm.Print_Area" localSheetId="2">'Maschinenliste-Liste Machines'!$A:$O</definedName>
    <definedName name="_xlnm.Print_Area" localSheetId="1">'Maschinen-Machines'!$A:$J</definedName>
    <definedName name="_xlnm.Print_Area" localSheetId="4">'Zusatzinfos-Infos suppl.'!$A:$T</definedName>
    <definedName name="ZRBeitrag">#REF!</definedName>
    <definedName name="Zusatz_O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71" l="1"/>
  <c r="I16" i="71"/>
  <c r="I47" i="72" l="1"/>
  <c r="F16" i="71" l="1"/>
  <c r="J2" i="71"/>
  <c r="E100" i="72" l="1"/>
  <c r="A3" i="71"/>
  <c r="E74" i="72"/>
  <c r="A2" i="78" l="1"/>
  <c r="A3" i="78" s="1" a="1"/>
  <c r="A3" i="78" l="1"/>
  <c r="A478" i="78"/>
  <c r="A66" i="78"/>
  <c r="A42" i="72" s="1"/>
  <c r="A210" i="78"/>
  <c r="B106" i="76" s="1"/>
  <c r="A423" i="78"/>
  <c r="A271" i="78"/>
  <c r="A55" i="78"/>
  <c r="A438" i="78"/>
  <c r="A289" i="78"/>
  <c r="A82" i="78"/>
  <c r="B74" i="72" s="1"/>
  <c r="A498" i="78"/>
  <c r="A369" i="78"/>
  <c r="A201" i="78"/>
  <c r="B96" i="76" s="1"/>
  <c r="A426" i="78"/>
  <c r="A425" i="78"/>
  <c r="A250" i="78"/>
  <c r="A42" i="37" s="1"/>
  <c r="A465" i="78"/>
  <c r="A327" i="78"/>
  <c r="A138" i="78"/>
  <c r="B29" i="76" s="1"/>
  <c r="A362" i="78"/>
  <c r="A63" i="78"/>
  <c r="A5" i="72" s="1"/>
  <c r="A431" i="78"/>
  <c r="A281" i="78"/>
  <c r="A71" i="78"/>
  <c r="A145" i="78"/>
  <c r="B38" i="76" s="1"/>
  <c r="A81" i="78"/>
  <c r="B65" i="72" s="1"/>
  <c r="A17" i="78"/>
  <c r="A17" i="71" s="1"/>
  <c r="A448" i="78"/>
  <c r="A384" i="78"/>
  <c r="A320" i="78"/>
  <c r="A256" i="78"/>
  <c r="A48" i="37" s="1"/>
  <c r="A192" i="78"/>
  <c r="B87" i="76" s="1"/>
  <c r="A128" i="78"/>
  <c r="B19" i="76" s="1"/>
  <c r="A64" i="78"/>
  <c r="A17" i="72" s="1"/>
  <c r="A374" i="78"/>
  <c r="A190" i="78"/>
  <c r="B85" i="76" s="1"/>
  <c r="A453" i="78"/>
  <c r="A389" i="78"/>
  <c r="A325" i="78"/>
  <c r="A261" i="78"/>
  <c r="I52" i="37" s="1"/>
  <c r="A197" i="78"/>
  <c r="B92" i="76" s="1"/>
  <c r="A133" i="78"/>
  <c r="B24" i="76" s="1"/>
  <c r="A69" i="78"/>
  <c r="A84" i="72" s="1"/>
  <c r="A5" i="78"/>
  <c r="G5" i="71" s="1"/>
  <c r="A158" i="78"/>
  <c r="B51" i="76" s="1"/>
  <c r="A30" i="78"/>
  <c r="A45" i="71" s="1"/>
  <c r="A468" i="78"/>
  <c r="A404" i="78"/>
  <c r="A446" i="78"/>
  <c r="A490" i="78"/>
  <c r="A191" i="78"/>
  <c r="B86" i="76" s="1"/>
  <c r="A407" i="78"/>
  <c r="A249" i="78"/>
  <c r="A41" i="37" s="1"/>
  <c r="A23" i="78"/>
  <c r="A36" i="71" s="1"/>
  <c r="A422" i="78"/>
  <c r="A266" i="78"/>
  <c r="A50" i="78"/>
  <c r="A72" i="71" s="1"/>
  <c r="A482" i="78"/>
  <c r="A351" i="78"/>
  <c r="A175" i="78"/>
  <c r="B68" i="76" s="1"/>
  <c r="A394" i="78"/>
  <c r="A409" i="78"/>
  <c r="A231" i="78"/>
  <c r="P4" i="76" s="1"/>
  <c r="A449" i="78"/>
  <c r="A305" i="78"/>
  <c r="A106" i="78"/>
  <c r="B2" i="75" s="1"/>
  <c r="A298" i="78"/>
  <c r="A489" i="78"/>
  <c r="A415" i="78"/>
  <c r="A258" i="78"/>
  <c r="A50" i="37" s="1"/>
  <c r="A39" i="78"/>
  <c r="A56" i="71" s="1"/>
  <c r="A137" i="78"/>
  <c r="B28" i="76" s="1"/>
  <c r="A73" i="78"/>
  <c r="A9" i="78"/>
  <c r="A440" i="78"/>
  <c r="A376" i="78"/>
  <c r="A312" i="78"/>
  <c r="A248" i="78"/>
  <c r="A40" i="37" s="1"/>
  <c r="A184" i="78"/>
  <c r="B79" i="76" s="1"/>
  <c r="A120" i="78"/>
  <c r="B11" i="76" s="1"/>
  <c r="A56" i="78"/>
  <c r="A350" i="78"/>
  <c r="A166" i="78"/>
  <c r="B59" i="76" s="1"/>
  <c r="A445" i="78"/>
  <c r="A381" i="78"/>
  <c r="A317" i="78"/>
  <c r="A253" i="78"/>
  <c r="A45" i="37" s="1"/>
  <c r="A189" i="78"/>
  <c r="B84" i="76" s="1"/>
  <c r="A125" i="78"/>
  <c r="B16" i="76" s="1"/>
  <c r="A61" i="78"/>
  <c r="A2" i="71" s="1"/>
  <c r="A302" i="78"/>
  <c r="A142" i="78"/>
  <c r="B34" i="76" s="1"/>
  <c r="A14" i="78"/>
  <c r="A11" i="71" s="1"/>
  <c r="A460" i="78"/>
  <c r="A396" i="78"/>
  <c r="A332" i="78"/>
  <c r="A268" i="78"/>
  <c r="A76" i="37" s="1"/>
  <c r="A204" i="78"/>
  <c r="B99" i="76" s="1"/>
  <c r="A140" i="78"/>
  <c r="B32" i="76" s="1"/>
  <c r="A76" i="78"/>
  <c r="A12" i="78"/>
  <c r="A9" i="71" s="1"/>
  <c r="A230" i="78"/>
  <c r="O4" i="76" s="1"/>
  <c r="A6" i="78"/>
  <c r="J5" i="71" s="1"/>
  <c r="A451" i="78"/>
  <c r="A387" i="78"/>
  <c r="A323" i="78"/>
  <c r="A259" i="78"/>
  <c r="A195" i="78"/>
  <c r="B90" i="76" s="1"/>
  <c r="A131" i="78"/>
  <c r="B22" i="76" s="1"/>
  <c r="A67" i="78"/>
  <c r="A52" i="72" s="1"/>
  <c r="A417" i="78"/>
  <c r="A383" i="78"/>
  <c r="A121" i="78"/>
  <c r="B12" i="76" s="1"/>
  <c r="A424" i="78"/>
  <c r="A232" i="78"/>
  <c r="E99" i="72" s="1"/>
  <c r="A104" i="78"/>
  <c r="H115" i="72" s="1"/>
  <c r="A110" i="78"/>
  <c r="A3" i="75" s="1"/>
  <c r="A365" i="78"/>
  <c r="A173" i="78"/>
  <c r="B66" i="76" s="1"/>
  <c r="A45" i="78"/>
  <c r="A65" i="71" s="1"/>
  <c r="A469" i="78"/>
  <c r="A380" i="78"/>
  <c r="A252" i="78"/>
  <c r="A44" i="37" s="1"/>
  <c r="A60" i="78"/>
  <c r="A174" i="78"/>
  <c r="B67" i="76" s="1"/>
  <c r="A435" i="78"/>
  <c r="A243" i="78"/>
  <c r="A34" i="37" s="1"/>
  <c r="A115" i="78"/>
  <c r="B6" i="76" s="1"/>
  <c r="A430" i="78"/>
  <c r="A458" i="78"/>
  <c r="A31" i="78"/>
  <c r="A47" i="71" s="1"/>
  <c r="A391" i="78"/>
  <c r="A226" i="78"/>
  <c r="M5" i="76" s="1"/>
  <c r="A321" i="78"/>
  <c r="A406" i="78"/>
  <c r="A247" i="78"/>
  <c r="A39" i="37" s="1"/>
  <c r="A18" i="78"/>
  <c r="A18" i="71" s="1"/>
  <c r="A466" i="78"/>
  <c r="A329" i="78"/>
  <c r="A143" i="78"/>
  <c r="B36" i="76" s="1"/>
  <c r="A361" i="78"/>
  <c r="A377" i="78"/>
  <c r="A209" i="78"/>
  <c r="B104" i="76" s="1"/>
  <c r="A433" i="78"/>
  <c r="A282" i="78"/>
  <c r="A74" i="78"/>
  <c r="A257" i="78"/>
  <c r="A49" i="37" s="1"/>
  <c r="A393" i="78"/>
  <c r="A399" i="78"/>
  <c r="A239" i="78"/>
  <c r="A14" i="37" s="1"/>
  <c r="A7" i="78"/>
  <c r="C6" i="71" s="1"/>
  <c r="A129" i="78"/>
  <c r="B20" i="76" s="1"/>
  <c r="A65" i="78"/>
  <c r="A32" i="72" s="1"/>
  <c r="A496" i="78"/>
  <c r="A432" i="78"/>
  <c r="A368" i="78"/>
  <c r="A304" i="78"/>
  <c r="A240" i="78"/>
  <c r="A17" i="37" s="1"/>
  <c r="A176" i="78"/>
  <c r="B69" i="76" s="1"/>
  <c r="A112" i="78"/>
  <c r="C84" i="72" s="1"/>
  <c r="A48" i="78"/>
  <c r="A70" i="71" s="1"/>
  <c r="A334" i="78"/>
  <c r="A134" i="78"/>
  <c r="B25" i="76" s="1"/>
  <c r="A437" i="78"/>
  <c r="A373" i="78"/>
  <c r="A309" i="78"/>
  <c r="A245" i="78"/>
  <c r="A36" i="37" s="1"/>
  <c r="A181" i="78"/>
  <c r="B74" i="76" s="1"/>
  <c r="A117" i="78"/>
  <c r="B8" i="76" s="1"/>
  <c r="A53" i="78"/>
  <c r="C16" i="71" s="1"/>
  <c r="A286" i="78"/>
  <c r="A118" i="78"/>
  <c r="B9" i="76" s="1"/>
  <c r="A493" i="78"/>
  <c r="A452" i="78"/>
  <c r="A388" i="78"/>
  <c r="A324" i="78"/>
  <c r="A260" i="78"/>
  <c r="A52" i="37" s="1"/>
  <c r="A196" i="78"/>
  <c r="B91" i="76" s="1"/>
  <c r="A132" i="78"/>
  <c r="B23" i="76" s="1"/>
  <c r="A68" i="78"/>
  <c r="A73" i="72" s="1"/>
  <c r="A4" i="78"/>
  <c r="D5" i="71" s="1"/>
  <c r="A206" i="78"/>
  <c r="B101" i="76" s="1"/>
  <c r="A477" i="78"/>
  <c r="A443" i="78"/>
  <c r="A379" i="78"/>
  <c r="A315" i="78"/>
  <c r="A251" i="78"/>
  <c r="A187" i="78"/>
  <c r="B82" i="76" s="1"/>
  <c r="A123" i="78"/>
  <c r="B14" i="76" s="1"/>
  <c r="A59" i="78"/>
  <c r="A186" i="78"/>
  <c r="B81" i="76" s="1"/>
  <c r="A185" i="78"/>
  <c r="B80" i="76" s="1"/>
  <c r="A488" i="78"/>
  <c r="A360" i="78"/>
  <c r="A168" i="78"/>
  <c r="B61" i="76" s="1"/>
  <c r="A40" i="78"/>
  <c r="A58" i="71" s="1"/>
  <c r="A429" i="78"/>
  <c r="A237" i="78"/>
  <c r="A4" i="37" s="1"/>
  <c r="A109" i="78"/>
  <c r="A2" i="75" s="1"/>
  <c r="A102" i="78"/>
  <c r="A113" i="72" s="1"/>
  <c r="A444" i="78"/>
  <c r="A316" i="78"/>
  <c r="A188" i="78"/>
  <c r="B83" i="76" s="1"/>
  <c r="A358" i="78"/>
  <c r="A499" i="78"/>
  <c r="A307" i="78"/>
  <c r="A179" i="78"/>
  <c r="B72" i="76" s="1"/>
  <c r="A51" i="78"/>
  <c r="A73" i="71" s="1"/>
  <c r="A382" i="78"/>
  <c r="A410" i="78"/>
  <c r="A441" i="78"/>
  <c r="A375" i="78"/>
  <c r="A207" i="78"/>
  <c r="B102" i="76" s="1"/>
  <c r="A95" i="78"/>
  <c r="G4" i="72" s="1"/>
  <c r="G99" i="72" s="1"/>
  <c r="A390" i="78"/>
  <c r="A225" i="78"/>
  <c r="L5" i="76" s="1"/>
  <c r="A398" i="78"/>
  <c r="A450" i="78"/>
  <c r="A306" i="78"/>
  <c r="A111" i="78"/>
  <c r="A4" i="75" s="1"/>
  <c r="A319" i="78"/>
  <c r="A359" i="78"/>
  <c r="A263" i="78"/>
  <c r="A55" i="37" s="1"/>
  <c r="A42" i="78"/>
  <c r="A215" i="78"/>
  <c r="A5" i="76" s="1"/>
  <c r="A90" i="78"/>
  <c r="B97" i="72" s="1"/>
  <c r="A217" i="78"/>
  <c r="C5" i="76" s="1"/>
  <c r="A57" i="78"/>
  <c r="A296" i="78"/>
  <c r="A318" i="78"/>
  <c r="A301" i="78"/>
  <c r="A262" i="78"/>
  <c r="A124" i="78"/>
  <c r="B15" i="76" s="1"/>
  <c r="A371" i="78"/>
  <c r="A343" i="78"/>
  <c r="A378" i="78"/>
  <c r="A487" i="78"/>
  <c r="A354" i="78"/>
  <c r="A183" i="78"/>
  <c r="B78" i="76" s="1"/>
  <c r="A122" i="78"/>
  <c r="B13" i="76" s="1"/>
  <c r="A370" i="78"/>
  <c r="A202" i="78"/>
  <c r="B97" i="76" s="1"/>
  <c r="A442" i="78"/>
  <c r="A434" i="78"/>
  <c r="A287" i="78"/>
  <c r="A79" i="78"/>
  <c r="B60" i="72" s="1"/>
  <c r="A274" i="78"/>
  <c r="A12" i="71" s="1"/>
  <c r="A337" i="78"/>
  <c r="A154" i="78"/>
  <c r="B47" i="76" s="1"/>
  <c r="A401" i="78"/>
  <c r="A241" i="78"/>
  <c r="A10" i="78"/>
  <c r="A162" i="78"/>
  <c r="B55" i="76" s="1"/>
  <c r="A495" i="78"/>
  <c r="A366" i="78"/>
  <c r="A194" i="78"/>
  <c r="B89" i="76" s="1"/>
  <c r="A177" i="78"/>
  <c r="B70" i="76" s="1"/>
  <c r="A113" i="78"/>
  <c r="A49" i="78"/>
  <c r="A71" i="71" s="1"/>
  <c r="A480" i="78"/>
  <c r="A416" i="78"/>
  <c r="A352" i="78"/>
  <c r="A288" i="78"/>
  <c r="A224" i="78"/>
  <c r="K5" i="76" s="1"/>
  <c r="A160" i="78"/>
  <c r="B53" i="76" s="1"/>
  <c r="A96" i="78"/>
  <c r="I4" i="72" s="1"/>
  <c r="I99" i="72" s="1"/>
  <c r="A32" i="78"/>
  <c r="A294" i="78"/>
  <c r="A78" i="78"/>
  <c r="B57" i="72" s="1"/>
  <c r="A421" i="78"/>
  <c r="A357" i="78"/>
  <c r="A293" i="78"/>
  <c r="A229" i="78"/>
  <c r="K4" i="76" s="1"/>
  <c r="A165" i="78"/>
  <c r="B58" i="76" s="1"/>
  <c r="A101" i="78"/>
  <c r="A37" i="78"/>
  <c r="A54" i="71" s="1"/>
  <c r="A246" i="78"/>
  <c r="A37" i="37" s="1"/>
  <c r="A86" i="78"/>
  <c r="B87" i="72" s="1"/>
  <c r="A500" i="78"/>
  <c r="A436" i="78"/>
  <c r="A372" i="78"/>
  <c r="A308" i="78"/>
  <c r="A244" i="78"/>
  <c r="A35" i="37" s="1"/>
  <c r="A180" i="78"/>
  <c r="B73" i="76" s="1"/>
  <c r="A116" i="78"/>
  <c r="B7" i="76" s="1"/>
  <c r="A52" i="78"/>
  <c r="A74" i="71" s="1"/>
  <c r="A342" i="78"/>
  <c r="A150" i="78"/>
  <c r="B43" i="76" s="1"/>
  <c r="A491" i="78"/>
  <c r="A427" i="78"/>
  <c r="A363" i="78"/>
  <c r="A299" i="78"/>
  <c r="A235" i="78"/>
  <c r="A1" i="37" s="1"/>
  <c r="A171" i="78"/>
  <c r="B64" i="76" s="1"/>
  <c r="A107" i="78"/>
  <c r="B3" i="75" s="1"/>
  <c r="A43" i="78"/>
  <c r="A63" i="71" s="1"/>
  <c r="A279" i="78"/>
  <c r="A338" i="78"/>
  <c r="A471" i="78"/>
  <c r="A335" i="78"/>
  <c r="A151" i="78"/>
  <c r="B44" i="76" s="1"/>
  <c r="A486" i="78"/>
  <c r="A353" i="78"/>
  <c r="A178" i="78"/>
  <c r="B71" i="76" s="1"/>
  <c r="A159" i="78"/>
  <c r="B52" i="76" s="1"/>
  <c r="A418" i="78"/>
  <c r="A265" i="78"/>
  <c r="A62" i="37" s="1"/>
  <c r="A47" i="78"/>
  <c r="A69" i="71" s="1"/>
  <c r="A233" i="78"/>
  <c r="A314" i="78"/>
  <c r="A26" i="78"/>
  <c r="A40" i="71" s="1"/>
  <c r="A385" i="78"/>
  <c r="A218" i="78"/>
  <c r="D5" i="76" s="1"/>
  <c r="A494" i="78"/>
  <c r="A130" i="78"/>
  <c r="B21" i="76" s="1"/>
  <c r="A479" i="78"/>
  <c r="A345" i="78"/>
  <c r="A167" i="78"/>
  <c r="B60" i="76" s="1"/>
  <c r="A169" i="78"/>
  <c r="B62" i="76" s="1"/>
  <c r="A234" i="78"/>
  <c r="A75" i="71" s="1"/>
  <c r="A297" i="78"/>
  <c r="A455" i="78"/>
  <c r="A313" i="78"/>
  <c r="A119" i="78"/>
  <c r="B10" i="76" s="1"/>
  <c r="A470" i="78"/>
  <c r="A330" i="78"/>
  <c r="A146" i="78"/>
  <c r="B39" i="76" s="1"/>
  <c r="A457" i="78"/>
  <c r="A402" i="78"/>
  <c r="A242" i="78"/>
  <c r="A32" i="37" s="1"/>
  <c r="A15" i="78"/>
  <c r="A13" i="71" s="1"/>
  <c r="A127" i="78"/>
  <c r="B18" i="76" s="1"/>
  <c r="A295" i="78"/>
  <c r="A497" i="78"/>
  <c r="A367" i="78"/>
  <c r="A199" i="78"/>
  <c r="B94" i="76" s="1"/>
  <c r="A462" i="78"/>
  <c r="A98" i="78"/>
  <c r="A463" i="78"/>
  <c r="A322" i="78"/>
  <c r="A135" i="78"/>
  <c r="B26" i="76" s="1"/>
  <c r="A161" i="78"/>
  <c r="B54" i="76" s="1"/>
  <c r="A97" i="78"/>
  <c r="J4" i="72" s="1"/>
  <c r="J99" i="72" s="1"/>
  <c r="A33" i="78"/>
  <c r="A49" i="71" s="1"/>
  <c r="A464" i="78"/>
  <c r="A400" i="78"/>
  <c r="A336" i="78"/>
  <c r="A272" i="78"/>
  <c r="A90" i="37" s="1"/>
  <c r="A208" i="78"/>
  <c r="B103" i="76" s="1"/>
  <c r="A144" i="78"/>
  <c r="B37" i="76" s="1"/>
  <c r="A80" i="78"/>
  <c r="B63" i="72" s="1"/>
  <c r="A16" i="78"/>
  <c r="A16" i="71" s="1"/>
  <c r="A238" i="78"/>
  <c r="A9" i="37" s="1"/>
  <c r="A485" i="78"/>
  <c r="A405" i="78"/>
  <c r="A341" i="78"/>
  <c r="A277" i="78"/>
  <c r="A213" i="78"/>
  <c r="B109" i="76" s="1"/>
  <c r="A149" i="78"/>
  <c r="B42" i="76" s="1"/>
  <c r="A85" i="78"/>
  <c r="B86" i="72" s="1"/>
  <c r="A21" i="78"/>
  <c r="A28" i="71" s="1"/>
  <c r="A198" i="78"/>
  <c r="B93" i="76" s="1"/>
  <c r="A54" i="78"/>
  <c r="C17" i="71" s="1"/>
  <c r="A484" i="78"/>
  <c r="A420" i="78"/>
  <c r="A356" i="78"/>
  <c r="A292" i="78"/>
  <c r="A228" i="78"/>
  <c r="D4" i="76" s="1"/>
  <c r="A164" i="78"/>
  <c r="B57" i="76" s="1"/>
  <c r="A100" i="78"/>
  <c r="A36" i="78"/>
  <c r="A53" i="71" s="1"/>
  <c r="A310" i="78"/>
  <c r="A94" i="78"/>
  <c r="A475" i="78"/>
  <c r="A411" i="78"/>
  <c r="A347" i="78"/>
  <c r="A283" i="78"/>
  <c r="A219" i="78"/>
  <c r="E5" i="76" s="1"/>
  <c r="A155" i="78"/>
  <c r="B48" i="76" s="1"/>
  <c r="A91" i="78"/>
  <c r="C4" i="72" s="1"/>
  <c r="C99" i="72" s="1"/>
  <c r="A27" i="78"/>
  <c r="A42" i="71" s="1"/>
  <c r="A193" i="78"/>
  <c r="B88" i="76" s="1"/>
  <c r="A255" i="78"/>
  <c r="A439" i="78"/>
  <c r="A290" i="78"/>
  <c r="A87" i="78"/>
  <c r="B89" i="72" s="1"/>
  <c r="A454" i="78"/>
  <c r="A311" i="78"/>
  <c r="A114" i="78"/>
  <c r="B99" i="72" s="1"/>
  <c r="A58" i="78"/>
  <c r="A386" i="78"/>
  <c r="A223" i="78"/>
  <c r="J5" i="76" s="1"/>
  <c r="A474" i="78"/>
  <c r="A473" i="78"/>
  <c r="A273" i="78"/>
  <c r="A481" i="78"/>
  <c r="A346" i="78"/>
  <c r="A170" i="78"/>
  <c r="B63" i="76" s="1"/>
  <c r="A414" i="78"/>
  <c r="A34" i="78"/>
  <c r="A50" i="71" s="1"/>
  <c r="A447" i="78"/>
  <c r="A303" i="78"/>
  <c r="A103" i="78"/>
  <c r="H114" i="72" s="1"/>
  <c r="A153" i="78"/>
  <c r="B46" i="76" s="1"/>
  <c r="A89" i="78"/>
  <c r="B96" i="72" s="1"/>
  <c r="A328" i="78"/>
  <c r="A72" i="78"/>
  <c r="A397" i="78"/>
  <c r="A141" i="78"/>
  <c r="B33" i="76" s="1"/>
  <c r="A38" i="78"/>
  <c r="A55" i="71" s="1"/>
  <c r="A300" i="78"/>
  <c r="A148" i="78"/>
  <c r="B41" i="76" s="1"/>
  <c r="A278" i="78"/>
  <c r="A419" i="78"/>
  <c r="A267" i="78"/>
  <c r="A69" i="37" s="1"/>
  <c r="A83" i="78"/>
  <c r="B76" i="72" s="1"/>
  <c r="A41" i="78"/>
  <c r="A59" i="71" s="1"/>
  <c r="A280" i="78"/>
  <c r="A24" i="78"/>
  <c r="A37" i="71" s="1"/>
  <c r="A349" i="78"/>
  <c r="A93" i="78"/>
  <c r="E4" i="72" s="1"/>
  <c r="A492" i="78"/>
  <c r="A284" i="78"/>
  <c r="A108" i="78"/>
  <c r="B4" i="75" s="1"/>
  <c r="A254" i="78"/>
  <c r="A46" i="37" s="1"/>
  <c r="A403" i="78"/>
  <c r="A227" i="78"/>
  <c r="N5" i="76" s="1"/>
  <c r="A75" i="78"/>
  <c r="A476" i="78"/>
  <c r="A92" i="78"/>
  <c r="D4" i="72" s="1"/>
  <c r="D99" i="72" s="1"/>
  <c r="A126" i="78"/>
  <c r="B17" i="76" s="1"/>
  <c r="A211" i="78"/>
  <c r="B107" i="76" s="1"/>
  <c r="A35" i="78"/>
  <c r="A52" i="71" s="1"/>
  <c r="A203" i="78"/>
  <c r="B98" i="76" s="1"/>
  <c r="A19" i="78"/>
  <c r="A20" i="71" s="1"/>
  <c r="A200" i="78"/>
  <c r="B95" i="76" s="1"/>
  <c r="A214" i="78"/>
  <c r="A2" i="76" s="1"/>
  <c r="A412" i="78"/>
  <c r="A46" i="78"/>
  <c r="A67" i="71" s="1"/>
  <c r="A11" i="78"/>
  <c r="A8" i="71" s="1"/>
  <c r="A408" i="78"/>
  <c r="A221" i="78"/>
  <c r="G5" i="76" s="1"/>
  <c r="A212" i="78"/>
  <c r="B108" i="76" s="1"/>
  <c r="A331" i="78"/>
  <c r="A136" i="78"/>
  <c r="B27" i="76" s="1"/>
  <c r="A348" i="78"/>
  <c r="A344" i="78"/>
  <c r="A340" i="78"/>
  <c r="A99" i="78"/>
  <c r="A25" i="78"/>
  <c r="A39" i="71" s="1"/>
  <c r="A264" i="78"/>
  <c r="A8" i="78"/>
  <c r="A333" i="78"/>
  <c r="A77" i="78"/>
  <c r="B54" i="72" s="1"/>
  <c r="A276" i="78"/>
  <c r="A395" i="78"/>
  <c r="A13" i="78"/>
  <c r="A10" i="71" s="1"/>
  <c r="A44" i="78"/>
  <c r="A64" i="71" s="1"/>
  <c r="A339" i="78"/>
  <c r="A22" i="78"/>
  <c r="A34" i="71" s="1"/>
  <c r="A222" i="78"/>
  <c r="I5" i="76" s="1"/>
  <c r="A28" i="78"/>
  <c r="A43" i="71" s="1"/>
  <c r="A392" i="78"/>
  <c r="A182" i="78"/>
  <c r="B75" i="76" s="1"/>
  <c r="A467" i="78"/>
  <c r="A413" i="78"/>
  <c r="A156" i="78"/>
  <c r="B49" i="76" s="1"/>
  <c r="A275" i="78"/>
  <c r="A472" i="78"/>
  <c r="A216" i="78"/>
  <c r="A270" i="78"/>
  <c r="A83" i="37" s="1"/>
  <c r="A285" i="78"/>
  <c r="A29" i="78"/>
  <c r="A44" i="71" s="1"/>
  <c r="A428" i="78"/>
  <c r="A236" i="78"/>
  <c r="A2" i="37" s="1"/>
  <c r="A84" i="78"/>
  <c r="B85" i="72" s="1"/>
  <c r="A70" i="78"/>
  <c r="A94" i="72" s="1"/>
  <c r="A355" i="78"/>
  <c r="A269" i="78"/>
  <c r="A220" i="78"/>
  <c r="F5" i="76" s="1"/>
  <c r="A163" i="78"/>
  <c r="B56" i="76" s="1"/>
  <c r="A152" i="78"/>
  <c r="B45" i="76" s="1"/>
  <c r="A364" i="78"/>
  <c r="A483" i="78"/>
  <c r="A147" i="78"/>
  <c r="B40" i="76" s="1"/>
  <c r="A205" i="78"/>
  <c r="B100" i="76" s="1"/>
  <c r="A20" i="78"/>
  <c r="A26" i="71" s="1"/>
  <c r="A291" i="78"/>
  <c r="A105" i="78"/>
  <c r="H116" i="72" s="1"/>
  <c r="A62" i="78"/>
  <c r="A2" i="72" s="1"/>
  <c r="A459" i="78"/>
  <c r="A456" i="78"/>
  <c r="A461" i="78"/>
  <c r="A172" i="78"/>
  <c r="B65" i="76" s="1"/>
  <c r="A139" i="78"/>
  <c r="B30" i="76" s="1"/>
  <c r="A88" i="78"/>
  <c r="B90" i="72" s="1"/>
  <c r="A157" i="78"/>
  <c r="B50" i="76" s="1"/>
  <c r="A326" i="78"/>
  <c r="A48" i="71"/>
  <c r="A5" i="71"/>
  <c r="K42" i="76"/>
  <c r="I71" i="71"/>
  <c r="E75" i="72"/>
  <c r="E106" i="72"/>
  <c r="E104" i="72"/>
  <c r="E102" i="72"/>
  <c r="E75" i="76"/>
  <c r="K71" i="76"/>
  <c r="K8" i="76"/>
  <c r="K9" i="76"/>
  <c r="K11" i="76"/>
  <c r="K12" i="76"/>
  <c r="K13" i="76"/>
  <c r="K14" i="76"/>
  <c r="K15" i="76"/>
  <c r="K16" i="76"/>
  <c r="K17" i="76"/>
  <c r="E8" i="76"/>
  <c r="E9" i="76"/>
  <c r="E11" i="76"/>
  <c r="E12" i="76"/>
  <c r="E13" i="76"/>
  <c r="E14" i="76"/>
  <c r="E15" i="76"/>
  <c r="E16" i="76"/>
  <c r="E17" i="76"/>
  <c r="L28" i="71"/>
  <c r="I28" i="71"/>
  <c r="F28" i="71"/>
  <c r="L20" i="71"/>
  <c r="I20" i="71"/>
  <c r="F20" i="71"/>
  <c r="K70" i="76"/>
  <c r="K69" i="76"/>
  <c r="K7" i="76"/>
  <c r="L70" i="71"/>
  <c r="L75" i="71" s="1"/>
  <c r="K73" i="76"/>
  <c r="E74" i="76"/>
  <c r="E73" i="76"/>
  <c r="K74" i="76"/>
  <c r="E70" i="76"/>
  <c r="E71" i="76"/>
  <c r="E69" i="76"/>
  <c r="K44" i="76"/>
  <c r="K43" i="76"/>
  <c r="K40" i="76"/>
  <c r="K41" i="76"/>
  <c r="E40" i="76"/>
  <c r="E41" i="76"/>
  <c r="E42" i="76"/>
  <c r="E43" i="76"/>
  <c r="E44" i="76"/>
  <c r="K37" i="76"/>
  <c r="K38" i="76"/>
  <c r="K39" i="76"/>
  <c r="E37" i="76"/>
  <c r="E38" i="76"/>
  <c r="E39" i="76"/>
  <c r="K64" i="76"/>
  <c r="K65" i="76"/>
  <c r="K66" i="76"/>
  <c r="K67" i="76"/>
  <c r="E64" i="76"/>
  <c r="E65" i="76"/>
  <c r="E66" i="76"/>
  <c r="E67" i="76"/>
  <c r="K46" i="76"/>
  <c r="K47" i="76"/>
  <c r="K48" i="76"/>
  <c r="I57" i="76"/>
  <c r="J57" i="76"/>
  <c r="E57" i="76" s="1"/>
  <c r="I58" i="76"/>
  <c r="J58" i="76"/>
  <c r="E58" i="76" s="1"/>
  <c r="I59" i="76"/>
  <c r="J59" i="76"/>
  <c r="E59" i="76" s="1"/>
  <c r="I60" i="76"/>
  <c r="J60" i="76"/>
  <c r="E60" i="76" s="1"/>
  <c r="I61" i="76"/>
  <c r="J61" i="76"/>
  <c r="K61" i="76" s="1"/>
  <c r="I62" i="76"/>
  <c r="J62" i="76"/>
  <c r="E62" i="76" s="1"/>
  <c r="J56" i="76"/>
  <c r="E56" i="76" s="1"/>
  <c r="I56" i="76"/>
  <c r="I50" i="76"/>
  <c r="J50" i="76"/>
  <c r="E50" i="76" s="1"/>
  <c r="I51" i="76"/>
  <c r="J51" i="76"/>
  <c r="K51" i="76" s="1"/>
  <c r="I52" i="76"/>
  <c r="J52" i="76"/>
  <c r="I53" i="76"/>
  <c r="J53" i="76"/>
  <c r="I54" i="76"/>
  <c r="J54" i="76"/>
  <c r="I55" i="76"/>
  <c r="J55" i="76"/>
  <c r="J49" i="76"/>
  <c r="E49" i="76" s="1"/>
  <c r="I49" i="76"/>
  <c r="W55" i="76"/>
  <c r="H55" i="76" s="1"/>
  <c r="W54" i="76"/>
  <c r="F54" i="76" s="1"/>
  <c r="W53" i="76"/>
  <c r="H53" i="76" s="1"/>
  <c r="W52" i="76"/>
  <c r="W51" i="76"/>
  <c r="H51" i="76" s="1"/>
  <c r="W50" i="76"/>
  <c r="H50" i="76" s="1"/>
  <c r="W49" i="76"/>
  <c r="H49" i="76" s="1"/>
  <c r="F44" i="72" l="1"/>
  <c r="I36" i="72"/>
  <c r="I34" i="72"/>
  <c r="G44" i="72"/>
  <c r="A62" i="71"/>
  <c r="K74" i="72"/>
  <c r="F74" i="72" s="1"/>
  <c r="D114" i="72"/>
  <c r="D109" i="72"/>
  <c r="D116" i="72"/>
  <c r="D111" i="72"/>
  <c r="G111" i="72" s="1"/>
  <c r="D115" i="72"/>
  <c r="D110" i="72"/>
  <c r="G110" i="72" s="1"/>
  <c r="K54" i="72"/>
  <c r="I54" i="72" s="1"/>
  <c r="F4" i="72"/>
  <c r="F99" i="72" s="1"/>
  <c r="K101" i="72"/>
  <c r="G100" i="72" s="1"/>
  <c r="K60" i="72"/>
  <c r="G59" i="72" s="1"/>
  <c r="K107" i="72"/>
  <c r="G106" i="72" s="1"/>
  <c r="K57" i="72"/>
  <c r="G56" i="72" s="1"/>
  <c r="K62" i="72"/>
  <c r="K59" i="72"/>
  <c r="K76" i="72"/>
  <c r="G75" i="72" s="1"/>
  <c r="K102" i="72"/>
  <c r="K103" i="72"/>
  <c r="F102" i="72" s="1"/>
  <c r="K63" i="72"/>
  <c r="F62" i="72" s="1"/>
  <c r="K56" i="72"/>
  <c r="D70" i="72"/>
  <c r="F70" i="72" s="1"/>
  <c r="D14" i="72"/>
  <c r="D39" i="72"/>
  <c r="D49" i="72"/>
  <c r="D80" i="72"/>
  <c r="F80" i="72" s="1"/>
  <c r="D29" i="72"/>
  <c r="G29" i="72" s="1"/>
  <c r="K75" i="72"/>
  <c r="K104" i="72"/>
  <c r="G105" i="72"/>
  <c r="G101" i="72"/>
  <c r="G9" i="72"/>
  <c r="G25" i="72"/>
  <c r="G19" i="72"/>
  <c r="G60" i="72"/>
  <c r="G54" i="72"/>
  <c r="J34" i="72"/>
  <c r="J74" i="72"/>
  <c r="D13" i="72"/>
  <c r="F105" i="72"/>
  <c r="F101" i="72"/>
  <c r="F9" i="72"/>
  <c r="F25" i="72"/>
  <c r="F60" i="72"/>
  <c r="G34" i="72"/>
  <c r="I74" i="72"/>
  <c r="D69" i="72"/>
  <c r="J107" i="72"/>
  <c r="J103" i="72"/>
  <c r="J11" i="72"/>
  <c r="J22" i="72"/>
  <c r="J63" i="72"/>
  <c r="J57" i="72"/>
  <c r="G43" i="72"/>
  <c r="G74" i="72"/>
  <c r="I107" i="72"/>
  <c r="I103" i="72"/>
  <c r="I11" i="72"/>
  <c r="I22" i="72"/>
  <c r="I63" i="72"/>
  <c r="I57" i="72"/>
  <c r="J36" i="72"/>
  <c r="G76" i="72"/>
  <c r="I25" i="72"/>
  <c r="G107" i="72"/>
  <c r="G103" i="72"/>
  <c r="G11" i="72"/>
  <c r="G22" i="72"/>
  <c r="G63" i="72"/>
  <c r="G57" i="72"/>
  <c r="D38" i="72"/>
  <c r="I9" i="72"/>
  <c r="I19" i="72"/>
  <c r="F107" i="72"/>
  <c r="F103" i="72"/>
  <c r="F11" i="72"/>
  <c r="F22" i="72"/>
  <c r="F63" i="72"/>
  <c r="F57" i="72"/>
  <c r="G36" i="72"/>
  <c r="J76" i="72"/>
  <c r="D48" i="72"/>
  <c r="I101" i="72"/>
  <c r="I60" i="72"/>
  <c r="D28" i="72"/>
  <c r="J105" i="72"/>
  <c r="J101" i="72"/>
  <c r="J9" i="72"/>
  <c r="J25" i="72"/>
  <c r="J19" i="72"/>
  <c r="J60" i="72"/>
  <c r="F36" i="72"/>
  <c r="I76" i="72"/>
  <c r="D79" i="72"/>
  <c r="F79" i="72" s="1"/>
  <c r="I105" i="72"/>
  <c r="K105" i="72"/>
  <c r="G104" i="72" s="1"/>
  <c r="K106" i="72"/>
  <c r="K100" i="72"/>
  <c r="D15" i="72"/>
  <c r="D40" i="72"/>
  <c r="D50" i="72"/>
  <c r="D81" i="72"/>
  <c r="D71" i="72"/>
  <c r="D30" i="72"/>
  <c r="K52" i="76"/>
  <c r="G53" i="76"/>
  <c r="K53" i="76" s="1"/>
  <c r="K62" i="76"/>
  <c r="G55" i="76"/>
  <c r="K55" i="76" s="1"/>
  <c r="K56" i="76"/>
  <c r="K57" i="76"/>
  <c r="G54" i="76"/>
  <c r="K54" i="76" s="1"/>
  <c r="K58" i="76"/>
  <c r="K59" i="76"/>
  <c r="K60" i="76"/>
  <c r="K50" i="76"/>
  <c r="A108" i="72"/>
  <c r="A12" i="72"/>
  <c r="A68" i="72"/>
  <c r="A78" i="72"/>
  <c r="A47" i="72"/>
  <c r="A27" i="72"/>
  <c r="A37" i="72"/>
  <c r="U9" i="71"/>
  <c r="M6" i="72"/>
  <c r="U10" i="71"/>
  <c r="M7" i="72"/>
  <c r="B45" i="72"/>
  <c r="D84" i="72"/>
  <c r="B106" i="72"/>
  <c r="B100" i="72"/>
  <c r="B102" i="72"/>
  <c r="B104" i="72"/>
  <c r="A81" i="72"/>
  <c r="A50" i="72"/>
  <c r="A30" i="72"/>
  <c r="A71" i="72"/>
  <c r="A116" i="72"/>
  <c r="A15" i="72"/>
  <c r="A40" i="72"/>
  <c r="A111" i="72"/>
  <c r="B107" i="72"/>
  <c r="B101" i="72"/>
  <c r="B105" i="72"/>
  <c r="B103" i="72"/>
  <c r="A38" i="72"/>
  <c r="A79" i="72"/>
  <c r="A48" i="72"/>
  <c r="A28" i="72"/>
  <c r="A69" i="72"/>
  <c r="A114" i="72"/>
  <c r="A109" i="72"/>
  <c r="A13" i="72"/>
  <c r="U8" i="71"/>
  <c r="M5" i="72"/>
  <c r="A110" i="72"/>
  <c r="A14" i="72"/>
  <c r="A80" i="72"/>
  <c r="A49" i="72"/>
  <c r="A29" i="72"/>
  <c r="A70" i="72"/>
  <c r="A115" i="72"/>
  <c r="A39" i="72"/>
  <c r="B44" i="72"/>
  <c r="B9" i="72"/>
  <c r="B19" i="72"/>
  <c r="B36" i="72"/>
  <c r="B22" i="72"/>
  <c r="B34" i="72"/>
  <c r="B7" i="72"/>
  <c r="B25" i="72"/>
  <c r="B11" i="72"/>
  <c r="B61" i="72"/>
  <c r="B58" i="72"/>
  <c r="B55" i="72"/>
  <c r="B64" i="72"/>
  <c r="B24" i="72"/>
  <c r="B10" i="72"/>
  <c r="B59" i="72"/>
  <c r="B56" i="72"/>
  <c r="B75" i="72"/>
  <c r="B43" i="72"/>
  <c r="B8" i="72"/>
  <c r="B33" i="72"/>
  <c r="B62" i="72"/>
  <c r="B35" i="72"/>
  <c r="B21" i="72"/>
  <c r="B6" i="72"/>
  <c r="B53" i="72"/>
  <c r="B18" i="72"/>
  <c r="B23" i="72"/>
  <c r="B20" i="72"/>
  <c r="B26" i="72"/>
  <c r="C20" i="71"/>
  <c r="C13" i="71"/>
  <c r="C8" i="71"/>
  <c r="C31" i="71"/>
  <c r="C30" i="71"/>
  <c r="C33" i="71"/>
  <c r="C29" i="71"/>
  <c r="C32" i="71"/>
  <c r="C28" i="71"/>
  <c r="C21" i="71"/>
  <c r="C25" i="71"/>
  <c r="C24" i="71"/>
  <c r="C22" i="71"/>
  <c r="C23" i="71"/>
  <c r="L6" i="71"/>
  <c r="I6" i="71"/>
  <c r="F6" i="71"/>
  <c r="D6" i="71"/>
  <c r="J6" i="71"/>
  <c r="C7" i="71"/>
  <c r="G6" i="71"/>
  <c r="K6" i="71"/>
  <c r="H6" i="71"/>
  <c r="E6" i="71"/>
  <c r="G49" i="76"/>
  <c r="K49" i="76" s="1"/>
  <c r="F49" i="76"/>
  <c r="F51" i="76"/>
  <c r="H54" i="76"/>
  <c r="F53" i="76"/>
  <c r="F55" i="76"/>
  <c r="F52" i="76"/>
  <c r="E61" i="76"/>
  <c r="H52" i="76"/>
  <c r="F50" i="76"/>
  <c r="E51" i="76"/>
  <c r="E52" i="76"/>
  <c r="E53" i="76"/>
  <c r="E54" i="76"/>
  <c r="E55" i="76"/>
  <c r="E46" i="76"/>
  <c r="E47" i="76"/>
  <c r="E48" i="76"/>
  <c r="K53" i="72"/>
  <c r="K36" i="72"/>
  <c r="G35" i="72" s="1"/>
  <c r="K34" i="72"/>
  <c r="F34" i="72" s="1"/>
  <c r="K25" i="72"/>
  <c r="G24" i="72" s="1"/>
  <c r="K22" i="72"/>
  <c r="K19" i="72"/>
  <c r="F19" i="72" s="1"/>
  <c r="F30" i="72" s="1"/>
  <c r="K11" i="72"/>
  <c r="F10" i="72" s="1"/>
  <c r="K9" i="72"/>
  <c r="K7" i="72"/>
  <c r="F7" i="72" s="1"/>
  <c r="K43" i="72"/>
  <c r="K35" i="72"/>
  <c r="K33" i="72"/>
  <c r="K24" i="72"/>
  <c r="K21" i="72"/>
  <c r="K18" i="72"/>
  <c r="K10" i="72"/>
  <c r="K8" i="72"/>
  <c r="K6" i="72"/>
  <c r="K34" i="76"/>
  <c r="K33" i="76"/>
  <c r="E34" i="76"/>
  <c r="F80" i="76"/>
  <c r="F84" i="76"/>
  <c r="F82" i="76"/>
  <c r="K22" i="76"/>
  <c r="K24" i="76"/>
  <c r="K25" i="76"/>
  <c r="K27" i="76"/>
  <c r="K28" i="76"/>
  <c r="K30" i="76"/>
  <c r="E7" i="76"/>
  <c r="L7" i="76"/>
  <c r="E22" i="76"/>
  <c r="E24" i="76"/>
  <c r="E25" i="76"/>
  <c r="E27" i="76"/>
  <c r="E28" i="76"/>
  <c r="E30" i="76"/>
  <c r="G104" i="76"/>
  <c r="G90" i="76" s="1"/>
  <c r="G103" i="76"/>
  <c r="G86" i="76" s="1"/>
  <c r="E104" i="76"/>
  <c r="E90" i="76" s="1"/>
  <c r="E103" i="76"/>
  <c r="E86" i="76" s="1"/>
  <c r="Q107" i="76"/>
  <c r="E33" i="76"/>
  <c r="L14" i="76"/>
  <c r="L44" i="71"/>
  <c r="L33" i="71"/>
  <c r="I33" i="71"/>
  <c r="F33" i="71"/>
  <c r="L32" i="71"/>
  <c r="I32" i="71"/>
  <c r="F32" i="71"/>
  <c r="L31" i="71"/>
  <c r="I31" i="71"/>
  <c r="F31" i="71"/>
  <c r="L30" i="71"/>
  <c r="I30" i="71"/>
  <c r="F30" i="71"/>
  <c r="L29" i="71"/>
  <c r="I29" i="71"/>
  <c r="F29" i="71"/>
  <c r="L25" i="71"/>
  <c r="I25" i="71"/>
  <c r="F25" i="71"/>
  <c r="L24" i="71"/>
  <c r="I24" i="71"/>
  <c r="F24" i="71"/>
  <c r="L23" i="71"/>
  <c r="I23" i="71"/>
  <c r="F23" i="71"/>
  <c r="L22" i="71"/>
  <c r="I22" i="71"/>
  <c r="F22" i="71"/>
  <c r="L21" i="71"/>
  <c r="I21" i="71"/>
  <c r="F21" i="71"/>
  <c r="L17" i="71"/>
  <c r="I17" i="71"/>
  <c r="F17" i="71"/>
  <c r="L16" i="71"/>
  <c r="L8" i="71"/>
  <c r="L13" i="71" s="1"/>
  <c r="I13" i="71"/>
  <c r="F8" i="71"/>
  <c r="G47" i="72" l="1"/>
  <c r="J37" i="72"/>
  <c r="F76" i="72"/>
  <c r="F81" i="72" s="1"/>
  <c r="E36" i="71"/>
  <c r="F36" i="71" s="1"/>
  <c r="F37" i="71" s="1"/>
  <c r="F13" i="71"/>
  <c r="I78" i="72"/>
  <c r="I116" i="72" s="1"/>
  <c r="J78" i="72"/>
  <c r="F8" i="72"/>
  <c r="I68" i="72"/>
  <c r="G78" i="72"/>
  <c r="F43" i="72"/>
  <c r="F47" i="72" s="1"/>
  <c r="J47" i="72"/>
  <c r="I7" i="72"/>
  <c r="J7" i="72"/>
  <c r="G7" i="72"/>
  <c r="H36" i="71"/>
  <c r="I36" i="71" s="1"/>
  <c r="I37" i="71" s="1"/>
  <c r="J54" i="72"/>
  <c r="J68" i="72" s="1"/>
  <c r="F54" i="72"/>
  <c r="F100" i="72"/>
  <c r="F106" i="72"/>
  <c r="G53" i="72"/>
  <c r="F56" i="72"/>
  <c r="G62" i="72"/>
  <c r="F59" i="72"/>
  <c r="G102" i="72"/>
  <c r="G108" i="72" s="1"/>
  <c r="F75" i="72"/>
  <c r="F35" i="72"/>
  <c r="J108" i="72"/>
  <c r="G8" i="72"/>
  <c r="F24" i="72"/>
  <c r="G71" i="72"/>
  <c r="F104" i="72"/>
  <c r="G10" i="72"/>
  <c r="F49" i="72"/>
  <c r="G49" i="72"/>
  <c r="F39" i="72"/>
  <c r="G39" i="72"/>
  <c r="G6" i="72"/>
  <c r="F6" i="72"/>
  <c r="F18" i="72"/>
  <c r="G18" i="72"/>
  <c r="G33" i="72"/>
  <c r="G40" i="72" s="1"/>
  <c r="F33" i="72"/>
  <c r="F53" i="72"/>
  <c r="F50" i="72"/>
  <c r="G50" i="72"/>
  <c r="G21" i="72"/>
  <c r="G30" i="72" s="1"/>
  <c r="F21" i="72"/>
  <c r="G70" i="72"/>
  <c r="I34" i="71"/>
  <c r="I26" i="71"/>
  <c r="G81" i="72"/>
  <c r="G80" i="72"/>
  <c r="I108" i="72"/>
  <c r="G109" i="72"/>
  <c r="G14" i="72"/>
  <c r="K19" i="76"/>
  <c r="K18" i="76"/>
  <c r="K21" i="76"/>
  <c r="K10" i="76"/>
  <c r="K20" i="76"/>
  <c r="E10" i="76"/>
  <c r="E18" i="76"/>
  <c r="E19" i="76"/>
  <c r="E20" i="76"/>
  <c r="E21" i="76"/>
  <c r="G79" i="72"/>
  <c r="F110" i="72"/>
  <c r="L18" i="71"/>
  <c r="F88" i="76"/>
  <c r="F90" i="76"/>
  <c r="F86" i="76"/>
  <c r="K26" i="76"/>
  <c r="E26" i="76"/>
  <c r="K23" i="76"/>
  <c r="E84" i="76"/>
  <c r="F109" i="72" s="1"/>
  <c r="G80" i="76"/>
  <c r="G82" i="76"/>
  <c r="G84" i="76"/>
  <c r="E82" i="76"/>
  <c r="E80" i="76"/>
  <c r="E88" i="76"/>
  <c r="G88" i="76"/>
  <c r="L34" i="71"/>
  <c r="L26" i="71"/>
  <c r="F34" i="71"/>
  <c r="I18" i="71"/>
  <c r="F26" i="71"/>
  <c r="F18" i="71"/>
  <c r="K36" i="71"/>
  <c r="L36" i="71" s="1"/>
  <c r="L37" i="71" s="1"/>
  <c r="F78" i="72" l="1"/>
  <c r="F12" i="72"/>
  <c r="F68" i="72"/>
  <c r="F108" i="72"/>
  <c r="G69" i="72"/>
  <c r="G68" i="72"/>
  <c r="J116" i="72"/>
  <c r="I73" i="71" s="1"/>
  <c r="F69" i="72"/>
  <c r="I39" i="71"/>
  <c r="I40" i="71" s="1"/>
  <c r="F71" i="72"/>
  <c r="I37" i="72"/>
  <c r="I27" i="72"/>
  <c r="G115" i="72"/>
  <c r="F14" i="72"/>
  <c r="J27" i="72"/>
  <c r="G15" i="72"/>
  <c r="G116" i="72" s="1"/>
  <c r="F40" i="72"/>
  <c r="F29" i="72"/>
  <c r="G48" i="72"/>
  <c r="F48" i="72"/>
  <c r="G38" i="72"/>
  <c r="F111" i="72"/>
  <c r="I12" i="72"/>
  <c r="F27" i="72"/>
  <c r="F28" i="72"/>
  <c r="F38" i="72"/>
  <c r="G27" i="72"/>
  <c r="G28" i="72"/>
  <c r="F13" i="72"/>
  <c r="G37" i="72"/>
  <c r="G13" i="72"/>
  <c r="G12" i="72"/>
  <c r="F37" i="72"/>
  <c r="J12" i="72"/>
  <c r="K29" i="76"/>
  <c r="E29" i="76"/>
  <c r="E23" i="76"/>
  <c r="L10" i="76"/>
  <c r="F15" i="72"/>
  <c r="L39" i="71"/>
  <c r="L40" i="71" s="1"/>
  <c r="L45" i="71" s="1"/>
  <c r="L50" i="71" s="1"/>
  <c r="L56" i="71" s="1"/>
  <c r="L60" i="71" s="1"/>
  <c r="F39" i="71"/>
  <c r="F40" i="71" s="1"/>
  <c r="F113" i="72" l="1"/>
  <c r="F116" i="72"/>
  <c r="F115" i="72"/>
  <c r="I42" i="71" s="1"/>
  <c r="F114" i="72"/>
  <c r="I47" i="71" s="1"/>
  <c r="I115" i="72"/>
  <c r="I113" i="72" s="1"/>
  <c r="I69" i="71" s="1"/>
  <c r="J115" i="72"/>
  <c r="I72" i="71" s="1"/>
  <c r="I70" i="71" s="1"/>
  <c r="F44" i="71"/>
  <c r="F45" i="71" s="1"/>
  <c r="F50" i="71" s="1"/>
  <c r="G114" i="72"/>
  <c r="I58" i="71" s="1"/>
  <c r="G113" i="72"/>
  <c r="J113" i="72" l="1"/>
  <c r="I43" i="71"/>
  <c r="I44" i="71" s="1"/>
  <c r="I45" i="71" s="1"/>
  <c r="F56" i="71"/>
  <c r="F60" i="71" s="1"/>
  <c r="F75" i="71" s="1"/>
  <c r="I50" i="71" l="1"/>
  <c r="I56" i="71" s="1"/>
  <c r="I60" i="71" s="1"/>
  <c r="I75" i="7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Ein geschätzter Microsoft Office Anwender</author>
    <author>Cassez Matthieu</author>
  </authors>
  <commentList>
    <comment ref="O5" authorId="0" shapeId="0" xr:uid="{AA2A96DC-F95F-468E-B3B2-60065D353D96}">
      <text>
        <r>
          <rPr>
            <sz val="8"/>
            <color indexed="81"/>
            <rFont val="Tahoma"/>
            <family val="2"/>
          </rPr>
          <t xml:space="preserve"> 1       Anbau
 2       Pflege
 3       Ernte
 4       Vermarktung
 5       Restarbeit</t>
        </r>
      </text>
    </comment>
    <comment ref="I73" authorId="1" shapeId="0" xr:uid="{588DC008-10EC-4427-ACFB-F3B5428117C0}">
      <text>
        <r>
          <rPr>
            <b/>
            <sz val="9"/>
            <color indexed="81"/>
            <rFont val="Tahoma"/>
            <family val="2"/>
          </rPr>
          <t>Cassez Matthieu:</t>
        </r>
        <r>
          <rPr>
            <sz val="9"/>
            <color indexed="81"/>
            <rFont val="Tahoma"/>
            <family val="2"/>
          </rPr>
          <t xml:space="preserve">
pour 60 t / Ha à 5 km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valueMetadata count="3">
    <bk>
      <rc t="1" v="0"/>
    </bk>
    <bk>
      <rc t="1" v="1"/>
    </bk>
    <bk>
      <rc t="1" v="2"/>
    </bk>
  </valueMetadata>
</metadata>
</file>

<file path=xl/sharedStrings.xml><?xml version="1.0" encoding="utf-8"?>
<sst xmlns="http://schemas.openxmlformats.org/spreadsheetml/2006/main" count="781" uniqueCount="572">
  <si>
    <t>DE</t>
  </si>
  <si>
    <t xml:space="preserve"> </t>
  </si>
  <si>
    <t>Colonne 1 : Betteraves sucrières, Version de base, cat.-MB</t>
  </si>
  <si>
    <t>1 ha</t>
  </si>
  <si>
    <t>avril 2024</t>
  </si>
  <si>
    <t>Fr.</t>
  </si>
  <si>
    <t>Semis, récolte et charger pars tiers</t>
  </si>
  <si>
    <t>propres machines</t>
  </si>
  <si>
    <t xml:space="preserve">tractuers , charrue , herse rotative , distrib. Centrif. , epandage fumier , pulvérisateur , herse-étrille , sarcleuse à betteraves, </t>
  </si>
  <si>
    <t>h</t>
  </si>
  <si>
    <t>…</t>
  </si>
  <si>
    <t>Quantité / Ha</t>
  </si>
  <si>
    <t>P</t>
  </si>
  <si>
    <t>L</t>
  </si>
  <si>
    <t>E</t>
  </si>
  <si>
    <t>ART-Nummer</t>
  </si>
  <si>
    <t>wird aktuell als Verfahren verwendet</t>
  </si>
  <si>
    <t>1, 2, 
3, 4,
5</t>
  </si>
  <si>
    <t>Bemerkungen</t>
  </si>
  <si>
    <t>Richtansätze Lohnarbeit 2013 SVLT</t>
  </si>
  <si>
    <t>2024 Aktualisiert</t>
  </si>
  <si>
    <t>MR gleich Maschinenring Tarife</t>
  </si>
  <si>
    <t>ha</t>
  </si>
  <si>
    <t>ART</t>
  </si>
  <si>
    <t>j</t>
  </si>
  <si>
    <t>220-280 Fr. /ha MR</t>
  </si>
  <si>
    <t>110 - 170 MR</t>
  </si>
  <si>
    <t>x</t>
  </si>
  <si>
    <t>SVLT 2013: Fr./ha 288.-</t>
  </si>
  <si>
    <t>2023 Maino 250 Franken, Pfister 280 Franken</t>
  </si>
  <si>
    <t>280 oder 260</t>
  </si>
  <si>
    <t>240 bis 320</t>
  </si>
  <si>
    <t>260 (Soja)</t>
  </si>
  <si>
    <t>SVLT 2013: Fr./ha 176.-</t>
  </si>
  <si>
    <t>150 bis 170</t>
  </si>
  <si>
    <t>140 bis 170</t>
  </si>
  <si>
    <t>Sonnenblumen Raps (Soja) Soja Kombination (260)</t>
  </si>
  <si>
    <t>x§</t>
  </si>
  <si>
    <t>loc / vo</t>
  </si>
  <si>
    <t>frais var / vo</t>
  </si>
  <si>
    <t>frais fixes / vo</t>
  </si>
  <si>
    <t>t / vo</t>
  </si>
  <si>
    <t>MOh / Ha</t>
  </si>
  <si>
    <t>hT/Ha</t>
  </si>
  <si>
    <t>t</t>
  </si>
  <si>
    <t>6024+6042</t>
  </si>
  <si>
    <t>6026+6042</t>
  </si>
  <si>
    <t>6027+6042</t>
  </si>
  <si>
    <t>6028+6042</t>
  </si>
  <si>
    <t>6029+6042</t>
  </si>
  <si>
    <t>6030+6042</t>
  </si>
  <si>
    <t>6031+6042</t>
  </si>
  <si>
    <t>m3</t>
  </si>
  <si>
    <t>o</t>
  </si>
  <si>
    <t>3011, 3009</t>
  </si>
  <si>
    <t>3011+3009</t>
  </si>
  <si>
    <t>T</t>
  </si>
  <si>
    <t>frais variables
Fr./h</t>
  </si>
  <si>
    <t>frais fixes
Fr./h</t>
  </si>
  <si>
    <t>frais location Fr./h</t>
  </si>
  <si>
    <t>variable
Kosten
Fr./h</t>
  </si>
  <si>
    <t>Miet-
ansatz
Fr./h</t>
  </si>
  <si>
    <t>1002+1021+1022</t>
  </si>
  <si>
    <t>1+</t>
  </si>
  <si>
    <t>2+</t>
  </si>
  <si>
    <t>1003+1021+1022</t>
  </si>
  <si>
    <t>3+</t>
  </si>
  <si>
    <t>1004+1021+1022</t>
  </si>
  <si>
    <t>4+</t>
  </si>
  <si>
    <t>1005+1023+1024</t>
  </si>
  <si>
    <t>5+</t>
  </si>
  <si>
    <t>1006+1023+1024</t>
  </si>
  <si>
    <t>6+</t>
  </si>
  <si>
    <t>1021+1022</t>
  </si>
  <si>
    <t xml:space="preserve"> +</t>
  </si>
  <si>
    <t>1023+1024</t>
  </si>
  <si>
    <t>Fr./h</t>
  </si>
  <si>
    <t>Maschinenkosten 2023: 47 bis 57</t>
  </si>
  <si>
    <t>FR</t>
  </si>
  <si>
    <t>Betteraves sucrières</t>
  </si>
  <si>
    <t>Zuckerrüben</t>
  </si>
  <si>
    <t>Betteraves sucrières
BIO, départ champ
Version Cat.- Marge brute</t>
  </si>
  <si>
    <t>Zuckerrüben BIO,
ab Feld, 
Version DB-Katalog</t>
  </si>
  <si>
    <t>Propre exploitation</t>
  </si>
  <si>
    <t>eigener Betrieb</t>
  </si>
  <si>
    <t>Variante</t>
  </si>
  <si>
    <t>unité de</t>
  </si>
  <si>
    <t>Einheit</t>
  </si>
  <si>
    <t>quantité</t>
  </si>
  <si>
    <t>Menge</t>
  </si>
  <si>
    <t>prix</t>
  </si>
  <si>
    <t>Preis</t>
  </si>
  <si>
    <t>montant</t>
  </si>
  <si>
    <t>Betrag</t>
  </si>
  <si>
    <t>Betteraves</t>
  </si>
  <si>
    <t>Rüben</t>
  </si>
  <si>
    <t>Contribution cult. des champs</t>
  </si>
  <si>
    <t>Einzelkulturbeitrag  Zuckerrüben</t>
  </si>
  <si>
    <t>Bettr. Promotion de culture éco. (IP, BIO)</t>
  </si>
  <si>
    <t xml:space="preserve">ZR, Förderung öko. Anbauformen (IP, BIO) </t>
  </si>
  <si>
    <t>BIO livraison tôt pris en compte dans le prix</t>
  </si>
  <si>
    <t>BIO Frühablieferung Im Preis berücksichtigt</t>
  </si>
  <si>
    <t>Prestation (produit)</t>
  </si>
  <si>
    <t>Leistung (Ertrag)</t>
  </si>
  <si>
    <t>Semence non traitée</t>
  </si>
  <si>
    <t>Saatgut ungebeizt</t>
  </si>
  <si>
    <t>Plantons</t>
  </si>
  <si>
    <t>Pflanzgut</t>
  </si>
  <si>
    <t>Total semences/plants</t>
  </si>
  <si>
    <t>Saatgut / Pflanzgut total</t>
  </si>
  <si>
    <t>Engrais organiques</t>
  </si>
  <si>
    <t>org. Ergänzungsdünger</t>
  </si>
  <si>
    <t>Total fumure</t>
  </si>
  <si>
    <t>Düngung total</t>
  </si>
  <si>
    <t>Autres préparations</t>
  </si>
  <si>
    <t>sonstige Präparate</t>
  </si>
  <si>
    <t>Total protection des plantes</t>
  </si>
  <si>
    <t>Pflanzenschutz total</t>
  </si>
  <si>
    <t>Assurance grêle</t>
  </si>
  <si>
    <t>Hagelversicherung</t>
  </si>
  <si>
    <t>Total charges spécifiques divers</t>
  </si>
  <si>
    <t>Übrige direkte Kosten total</t>
  </si>
  <si>
    <t>Total coûts spécifiques</t>
  </si>
  <si>
    <t>Total Direktkosten</t>
  </si>
  <si>
    <t>MB comparable</t>
  </si>
  <si>
    <t>Vergleichbarer DB</t>
  </si>
  <si>
    <t>Location machines (selon procédé défini)</t>
  </si>
  <si>
    <t>Maschinenmiete (gem. def. Anbauverfahren)</t>
  </si>
  <si>
    <t>Travaux par tiers (selon procédé défini)</t>
  </si>
  <si>
    <t>Lohnarbeit (gem. def. Anbauverfahren)</t>
  </si>
  <si>
    <t>Total travaux par tiers, location machines</t>
  </si>
  <si>
    <t>Lohnarbeit/Maschinenmiete total</t>
  </si>
  <si>
    <t>MB planification globale</t>
  </si>
  <si>
    <t>DB Betriebsplanung</t>
  </si>
  <si>
    <t>Frais machines variables</t>
  </si>
  <si>
    <t>Variable Maschinenkosten (gem. def. Anbauverfahren)</t>
  </si>
  <si>
    <t>Intérêt calculé</t>
  </si>
  <si>
    <t xml:space="preserve">Zinsanspruch </t>
  </si>
  <si>
    <t>Frais de contrôle et de label</t>
  </si>
  <si>
    <t>Kontroll- und Labelkosten</t>
  </si>
  <si>
    <t>MB</t>
  </si>
  <si>
    <t>DB</t>
  </si>
  <si>
    <t>Contributions à la surface</t>
  </si>
  <si>
    <t>Flächenbeiträge</t>
  </si>
  <si>
    <t>Contributions au paysage cultivé</t>
  </si>
  <si>
    <t xml:space="preserve">Kulturlandschaftsbeiträge KLB </t>
  </si>
  <si>
    <t>Contrib. à la sécurité de l'appro.</t>
  </si>
  <si>
    <t>Versorgungssicherheitsbeitr. VSB</t>
  </si>
  <si>
    <t>Agriculture biologique (terres ouvertes)</t>
  </si>
  <si>
    <t>Biolandbau Beitrag Ackerbau</t>
  </si>
  <si>
    <t>MB y compris contributions</t>
  </si>
  <si>
    <t>DB inkl. Beiträge</t>
  </si>
  <si>
    <t>Irrigation</t>
  </si>
  <si>
    <t>Bewässerung</t>
  </si>
  <si>
    <t>Autres contributions possibles Fr./ha</t>
  </si>
  <si>
    <t>Weitere mögliche Beiträge Fr./ha</t>
  </si>
  <si>
    <t>Contributions au système de production Fr./ha: non-recours produits phyto. 800, non-recours herbicides 250,</t>
  </si>
  <si>
    <t>Produktionssystembeiträge PSB Fr./ha: Verzicht PSM Acker 800, Verzicht Herbizide 250, Bodenbedeckung 200,</t>
  </si>
  <si>
    <t xml:space="preserve">Techniques culturales préservant le sol 250, utilisation efficiente de l’azote 100, couverture appropriée du sol 200, </t>
  </si>
  <si>
    <t xml:space="preserve">schonende Bodenbearbeitung 250, effizienter Stickstoffeinsatz 100 </t>
  </si>
  <si>
    <t>Contribution à la qualité du paysage jusqu'à 360 Fr./ha</t>
  </si>
  <si>
    <t>Landschaftsqualitätsbeitrag bis 360 Fr./ha</t>
  </si>
  <si>
    <t>Heures de traction</t>
  </si>
  <si>
    <t>Zugkraftstunden</t>
  </si>
  <si>
    <t>MOh total</t>
  </si>
  <si>
    <t>Arbeitskraftstunden total</t>
  </si>
  <si>
    <t xml:space="preserve">   dont M &amp; T*</t>
  </si>
  <si>
    <t xml:space="preserve">   davon B &amp; S*</t>
  </si>
  <si>
    <t xml:space="preserve">   dont mise en culture et soins</t>
  </si>
  <si>
    <t xml:space="preserve">   davon Anbau &amp; Pflege</t>
  </si>
  <si>
    <t xml:space="preserve">   dont récolte</t>
  </si>
  <si>
    <t xml:space="preserve">   davon Ernte</t>
  </si>
  <si>
    <t>*Management et travaux spéciaux</t>
  </si>
  <si>
    <t>*Betriebsführungs- u. Sonderarbeiten</t>
  </si>
  <si>
    <t>boîtes</t>
  </si>
  <si>
    <t>Dosen</t>
  </si>
  <si>
    <t>pièces</t>
  </si>
  <si>
    <t>Stk.</t>
  </si>
  <si>
    <t>dt</t>
  </si>
  <si>
    <t>kg</t>
  </si>
  <si>
    <t>fois</t>
  </si>
  <si>
    <t>Beh.</t>
  </si>
  <si>
    <t>Saisie possible</t>
  </si>
  <si>
    <t>Eingabe möglich</t>
  </si>
  <si>
    <t>Saisie directe et écrasement formules ou valeurs possible</t>
  </si>
  <si>
    <t>Direkte Eingabe und Überschreiben von Formeln oder Werten möglich</t>
  </si>
  <si>
    <t>Sélection menu déroulant ou saisie directe possible</t>
  </si>
  <si>
    <t>Auswahl Dropdown-Menü oder direkte Eingabe möglich</t>
  </si>
  <si>
    <t>DB-Rechner</t>
  </si>
  <si>
    <t>Procédes culturaux et travaux manuel</t>
  </si>
  <si>
    <t>Anbauverfahren und Handarbeit</t>
  </si>
  <si>
    <t>Travail du sol</t>
  </si>
  <si>
    <t>Bodenbearbeitung</t>
  </si>
  <si>
    <t>Préparation du lit de semence</t>
  </si>
  <si>
    <t>Saatbettbereitung</t>
  </si>
  <si>
    <t>Semis</t>
  </si>
  <si>
    <t>Saat</t>
  </si>
  <si>
    <t>Plantation</t>
  </si>
  <si>
    <t>Pflanzung</t>
  </si>
  <si>
    <t>Travaux d'entretien sur le champ</t>
  </si>
  <si>
    <t>Pflege</t>
  </si>
  <si>
    <t>Récolte</t>
  </si>
  <si>
    <t>Ernte</t>
  </si>
  <si>
    <t>travail manuel</t>
  </si>
  <si>
    <t>Handarbeit</t>
  </si>
  <si>
    <t>fumure organique  fumier / purin de la ferme / engrais organiques / engrais biogaz / compost etc.</t>
  </si>
  <si>
    <t>Einsatz von organischem Dünger Mist / Gülle / Recyclingdünger / Biogasgülle / Kompost etc.</t>
  </si>
  <si>
    <t>tracteur</t>
  </si>
  <si>
    <t>Traktor</t>
  </si>
  <si>
    <t>machine</t>
  </si>
  <si>
    <t>Maschine</t>
  </si>
  <si>
    <t>passages</t>
  </si>
  <si>
    <t>Durchfahrten</t>
  </si>
  <si>
    <t>distributeur d'engrais</t>
  </si>
  <si>
    <t>Düngerstreuer</t>
  </si>
  <si>
    <t>pulverisateur</t>
  </si>
  <si>
    <t>Spritze</t>
  </si>
  <si>
    <t>herse étrille</t>
  </si>
  <si>
    <t>Striegel</t>
  </si>
  <si>
    <t>sarcleuse</t>
  </si>
  <si>
    <t>Hackgerät</t>
  </si>
  <si>
    <t>robot de terrain</t>
  </si>
  <si>
    <t>Feldroboter</t>
  </si>
  <si>
    <t>Récolt. totale automot.</t>
  </si>
  <si>
    <t>Vollernter selbstfahrend</t>
  </si>
  <si>
    <t>Récolt. totale traînée.</t>
  </si>
  <si>
    <t>Vollerner gezogen</t>
  </si>
  <si>
    <t>Éclaircir</t>
  </si>
  <si>
    <t>Vereinzeln</t>
  </si>
  <si>
    <t>Sarclage manuel</t>
  </si>
  <si>
    <t>Unkrautbekämpfung</t>
  </si>
  <si>
    <t>Controles aux champs</t>
  </si>
  <si>
    <t xml:space="preserve">Feldkontrollen </t>
  </si>
  <si>
    <t xml:space="preserve">Autres travaux </t>
  </si>
  <si>
    <t>weiterer Arbeitsaufwand</t>
  </si>
  <si>
    <t>autres travaux (planif., admin etc.)</t>
  </si>
  <si>
    <t>Admin., Planung, Infos</t>
  </si>
  <si>
    <t>typ d'engrais</t>
  </si>
  <si>
    <t>Düngerart</t>
  </si>
  <si>
    <t>quantité par ha</t>
  </si>
  <si>
    <t>Menge pro ha</t>
  </si>
  <si>
    <t>kw / type de machine</t>
  </si>
  <si>
    <t>KW bzw. Maschinentyp</t>
  </si>
  <si>
    <t>Utilisation (propre P / location L / Entreprise E)</t>
  </si>
  <si>
    <t>Quantité</t>
  </si>
  <si>
    <t>Th</t>
  </si>
  <si>
    <t>MOh</t>
  </si>
  <si>
    <t>AKh</t>
  </si>
  <si>
    <t>Total</t>
  </si>
  <si>
    <t>dont propre</t>
  </si>
  <si>
    <t>davon Eigen</t>
  </si>
  <si>
    <t>dont location</t>
  </si>
  <si>
    <t>davon Miete</t>
  </si>
  <si>
    <t>dont entreprise</t>
  </si>
  <si>
    <t>davon Lohnunternehmer</t>
  </si>
  <si>
    <t>TOTAL GENERAL</t>
  </si>
  <si>
    <t xml:space="preserve">  davon B &amp; S*</t>
  </si>
  <si>
    <t xml:space="preserve">  davon Anbau &amp; Pflege</t>
  </si>
  <si>
    <t xml:space="preserve">  davon Ernte</t>
  </si>
  <si>
    <t>M</t>
  </si>
  <si>
    <t>LU</t>
  </si>
  <si>
    <t>Propriété</t>
  </si>
  <si>
    <t>Eigen</t>
  </si>
  <si>
    <t>Location</t>
  </si>
  <si>
    <t>Miete</t>
  </si>
  <si>
    <t>Entreprise</t>
  </si>
  <si>
    <t>Lohnunternehmer</t>
  </si>
  <si>
    <t>Total heures travaux manuel</t>
  </si>
  <si>
    <t>Handarbeitsstunden Total</t>
  </si>
  <si>
    <t>Nombre de travailleurs</t>
  </si>
  <si>
    <t>Anzahl Arbeitskräfte</t>
  </si>
  <si>
    <t>Epandage</t>
  </si>
  <si>
    <t>Ausbringen</t>
  </si>
  <si>
    <t>Sous-soleuse, profondeur de travail   70 cm</t>
  </si>
  <si>
    <t>Untergrundlockerer, Drainagepflug,
schwere Ausführung, 70 cm Tiefe</t>
  </si>
  <si>
    <t>Décompacteur, 3 m</t>
  </si>
  <si>
    <t>Tiefenlockerer, 3 m</t>
  </si>
  <si>
    <t>Chisel avec rouleau émotteur, 2.5 m</t>
  </si>
  <si>
    <t>Grubber mit Nachläufer, 2.5 m</t>
  </si>
  <si>
    <t>Chisel avec rouleau émotteur, 3 m</t>
  </si>
  <si>
    <t>Grubber mit Nachläufer, 3 m</t>
  </si>
  <si>
    <t>Bêcheuse, 2 m</t>
  </si>
  <si>
    <t>Spatenmaschine, 2 m</t>
  </si>
  <si>
    <t>Bêcheuse, 3 m</t>
  </si>
  <si>
    <t>Spatenmaschine, 3 m</t>
  </si>
  <si>
    <t>Charrue bisoc</t>
  </si>
  <si>
    <t>Pflug 2-scharig</t>
  </si>
  <si>
    <t>Charrue trisoc</t>
  </si>
  <si>
    <t>Pflug 3-scharig</t>
  </si>
  <si>
    <t>Charrue quadrisoc</t>
  </si>
  <si>
    <t>Pflug 4-scharig</t>
  </si>
  <si>
    <t>Charrue à 5 socs</t>
  </si>
  <si>
    <t>Pflug 5-scharig</t>
  </si>
  <si>
    <t>Charrue à 6 socs</t>
  </si>
  <si>
    <t>Pflug 6-scharig</t>
  </si>
  <si>
    <t>Herse à disques tractée, 3 m</t>
  </si>
  <si>
    <t>Scheibenegge gezogen, 3 m</t>
  </si>
  <si>
    <t>Herse à disques tractée, 4 m</t>
  </si>
  <si>
    <t>Scheibenegge, gezogen, 4 m</t>
  </si>
  <si>
    <t>Déchaumeuse à disques avec rouleau, 3 m</t>
  </si>
  <si>
    <t>Kurzscheibenegge mit Nachwalze, 3 m</t>
  </si>
  <si>
    <t>Déchaumeuse à disques avec rouleau, 4 m</t>
  </si>
  <si>
    <t>Kurzscheibenegge mit Nachwalze, 4 m</t>
  </si>
  <si>
    <t>Herse rotative avec rouleau packer, 2,5 m</t>
  </si>
  <si>
    <t>Kreiselegge mit Packerwalze, 2,5 m</t>
  </si>
  <si>
    <t>Herse rotative avec rouleau packer, 3 m</t>
  </si>
  <si>
    <t>Kreiselegge mit Packerwalze, 3 m</t>
  </si>
  <si>
    <t>Herse rotative avec rouleau packer, 4 m</t>
  </si>
  <si>
    <t>Kreiselegge mit Packerwalze, 4 m</t>
  </si>
  <si>
    <t>Herse rotative à axe horizontal, (rouleau packer) 2,5 m</t>
  </si>
  <si>
    <t>Zinkenrotor mit Packerwalze, 2,5 m</t>
  </si>
  <si>
    <t>Herse rotative à axe horizontal, (rouleau packer) 3 m</t>
  </si>
  <si>
    <t>Zinkenrotor mit Packerwalze, 3 m</t>
  </si>
  <si>
    <t>Rouleau cannelé, 2,5 m, attelage 3 points</t>
  </si>
  <si>
    <t>Rauwalze, 2,5 m, einteilig, Dreipunktanbau</t>
  </si>
  <si>
    <t>Rouleau cannelé, 3 m, attelage 3 points</t>
  </si>
  <si>
    <t>Rauwalze, 3 m, einteilig, Dreipunktanbau</t>
  </si>
  <si>
    <t>Rouleau cannelé, 6 m, traînée</t>
  </si>
  <si>
    <t>Rauwalze, 6 m, dreiteilig, gezogen</t>
  </si>
  <si>
    <t>Rouleau cannelé, 8 m, traînée</t>
  </si>
  <si>
    <t>Rauwalze, 8 m, dreiteilig, gezogen</t>
  </si>
  <si>
    <t>Semis, plantation</t>
  </si>
  <si>
    <t>Saat, Pflanzung</t>
  </si>
  <si>
    <t>Semoir monograine à betteraves, 6 rangs</t>
  </si>
  <si>
    <t>Einzelkornsämasch. f. Rüben, 6-reihig, 3 m</t>
  </si>
  <si>
    <t>Semoir monograine à betteraves, 12 rangs</t>
  </si>
  <si>
    <t>Einzelkornsämaschine für Rüben, 12-reihig</t>
  </si>
  <si>
    <t>Entretien</t>
  </si>
  <si>
    <t>Herse étrille, 6 m</t>
  </si>
  <si>
    <t>Hackstriegel 6 m</t>
  </si>
  <si>
    <t>Herse étrille, hydraulique, 9 m</t>
  </si>
  <si>
    <t>Hackstriegel hydraulisch klappbar, 9 m</t>
  </si>
  <si>
    <t>Herse étrille, hydraulique, 12 m</t>
  </si>
  <si>
    <t>Hackstriegel hydraulisch klappbar, 12 m</t>
  </si>
  <si>
    <t>Sarcleuse à dents vibro, 4 rangs</t>
  </si>
  <si>
    <t>Scharhackgerät, 4-reihig, starr</t>
  </si>
  <si>
    <t>Sarcleuse à dents vibro, 6 rangs, repliable</t>
  </si>
  <si>
    <t>Scharhackgerät, 6-reihig, klappbar</t>
  </si>
  <si>
    <t>Sarcleuse à dents vibro, 8 rangs, 
repliable hydrauliquement</t>
  </si>
  <si>
    <t>Scharhackgerät, 8-reihig, hydr. klappbar</t>
  </si>
  <si>
    <t>Sarcleuse à dents vibro, 6 rangs, 
contrôle par caméra sur châssis réglable</t>
  </si>
  <si>
    <t>Scharhackgerät, 6-reihig, Kamerasteuerung
mit Verschieberahmen</t>
  </si>
  <si>
    <t>Sarcleuse à dents vibro, 8 rangs, 
contrôle par caméra sur châssis réglable</t>
  </si>
  <si>
    <t>Scharhackgerät, 8-reihig, Kamerasteuerung
mit Verschieberahmen</t>
  </si>
  <si>
    <t>Fumure, irrigation</t>
  </si>
  <si>
    <t>Düngung, Bewässerung</t>
  </si>
  <si>
    <t>Distributeur à engrais centrifuge, jusqu'à 500 l</t>
  </si>
  <si>
    <t>Dünger Schleuderstreuer, bis 500 l</t>
  </si>
  <si>
    <t>Distributeur à engrais centrifuge, 500 - 1000 l</t>
  </si>
  <si>
    <t>Dünger Schleuderstreuer, 500 bis 1000 l</t>
  </si>
  <si>
    <t>Distributeur à engrais centrifuge, plus de 1000 l</t>
  </si>
  <si>
    <t>Dünger Schleuderstreuer, über 1000 l</t>
  </si>
  <si>
    <t>Epandeur à fumier latéral, 5 m3</t>
  </si>
  <si>
    <t>Miststreuer m. Seitenstreuwerk, um 5 m3</t>
  </si>
  <si>
    <t>Epandeur à fumier, 8 m3</t>
  </si>
  <si>
    <t>Miststreuer, um 8 m3</t>
  </si>
  <si>
    <t>Epandeur de fumier,10 m3</t>
  </si>
  <si>
    <t>Miststreuer, um 10 m3</t>
  </si>
  <si>
    <t>Epandeur de fumier, 12 m3</t>
  </si>
  <si>
    <t>Miststreuer, um 12 m3</t>
  </si>
  <si>
    <t>Epandeur universel, 14 m3</t>
  </si>
  <si>
    <t>Universalstreuer, um 14 m3</t>
  </si>
  <si>
    <t>Epandeur universel, 16 m3</t>
  </si>
  <si>
    <t>Universalstreuer, um 16 m3</t>
  </si>
  <si>
    <t>Epandeur universel, 21 m3</t>
  </si>
  <si>
    <t>Universalstreuer, um 21 m3</t>
  </si>
  <si>
    <t>Citerne lisier 3000 l, avec disp. d'épandage à tuyaux souples, 5 m</t>
  </si>
  <si>
    <t>5 m Schleppschlauchverteiler + 3000 l Fass</t>
  </si>
  <si>
    <t>Citerne lisier 5000 l, avec disp. d'épandage à tuyaux souples, 9 m</t>
  </si>
  <si>
    <t>9 m Schleppschlauchverteiler + 5000 l Fass</t>
  </si>
  <si>
    <t>Citerne lisier 6000 l, avec disp. d'épandage à tuyaux souples, 12 m</t>
  </si>
  <si>
    <t>12 m Schleppschlauchverteiler + 6000 l Fass</t>
  </si>
  <si>
    <t>Citerne lisier 8000 l, avec disp. d'épandage à tuyaux souples, 12 m</t>
  </si>
  <si>
    <t>12 m Schleppschlauchverteiler + 8000 l Fass</t>
  </si>
  <si>
    <t>Citerne lisier 10000 l, avec disp. d'épandage à tuyaux souples, 12 m</t>
  </si>
  <si>
    <t>12 m Schleppschlauchverteiler 
+ 10 000 l Fass</t>
  </si>
  <si>
    <t>Citerne lisier 12000 l, avec disp. d'épandage à tuyaux souples, 12 m</t>
  </si>
  <si>
    <t>12 m Schleppschlauchverteiler 
+ 12 000 l Fass</t>
  </si>
  <si>
    <t>Citerne lisier 15000 l, avec disp. d'épandage à tuyaux souples, 15 m</t>
  </si>
  <si>
    <t>15m Schleppschlauchverteiler + 15000l Fass</t>
  </si>
  <si>
    <t>Protection des plantes</t>
  </si>
  <si>
    <t>Pflanzenschutz</t>
  </si>
  <si>
    <t>Pulvérisateur porté, rampe 12 m, réservoir 600 l</t>
  </si>
  <si>
    <t>Anbaufeldspritze, 12 m Balken, 600 l Fass</t>
  </si>
  <si>
    <t>Pulvérisateur porté, rampe 15 m, réservoir 800 l</t>
  </si>
  <si>
    <t>Anbaufeldspritze, 15 m Balken, 800 l Fass</t>
  </si>
  <si>
    <t>Pulvérisateur porté avec ventilateur, réservoir 500 l</t>
  </si>
  <si>
    <t>Anbaugebläsespritze, 500 l Fass</t>
  </si>
  <si>
    <t>Pulvérisateur traîné avec ventilateur, réservoir 1000 l</t>
  </si>
  <si>
    <t>Anhängegebläsespritze, 1000 l Fass</t>
  </si>
  <si>
    <t>Récolte céréales/sarclées</t>
  </si>
  <si>
    <t>Ernte Getreide / Hackfrüchte</t>
  </si>
  <si>
    <t>Récolt. totale de betteraves sucrières, traînée, 2 rangs</t>
  </si>
  <si>
    <t xml:space="preserve">Zuckerrübenvollernter, gezogen, 2-reihig, </t>
  </si>
  <si>
    <t>Récolteuse totale de betteraves, automotrice,   6 rangs, 24 m3, moteur à diesel, 480 kW (652 ch)</t>
  </si>
  <si>
    <t>Zuckerrübenvollernter, selbstfahrend,  
6-reihig, 24 m3, Diesel, 480 kW (652 PS)</t>
  </si>
  <si>
    <t>Chargeuse à betteraves,  automotrice, moteur à diesel, 260 kW (354 ch)</t>
  </si>
  <si>
    <t>Zuckerrüben-Ladegerät, selbstfahrend, Diesel, 260 kW (354 PS)</t>
  </si>
  <si>
    <t>Transports</t>
  </si>
  <si>
    <t>Transporte</t>
  </si>
  <si>
    <t>Remorque à essieux tandem, bh, 10 t</t>
  </si>
  <si>
    <t>Anh. tandem, 2-achsig, 10 t, hydraulisch 
 kippbar</t>
  </si>
  <si>
    <t>Remorque à essieux tandem, bh, 15 t</t>
  </si>
  <si>
    <t>Anh. tandem, 2-achsig, 15 t, hydraulisch
 kippbar</t>
  </si>
  <si>
    <t>Traction de remorque, à essieux tandem, bh, 15 t, à 2 - essieux,bh plus de 10 t</t>
  </si>
  <si>
    <t>Anhängerzug: tandem, 2-achsig, 15 t, Anh. 2-Achsig über 10 t, hydraulisch kippbar</t>
  </si>
  <si>
    <t>Tracteurs</t>
  </si>
  <si>
    <t>Traktoren</t>
  </si>
  <si>
    <t>Tracteur 30-36 kW  (41-49 ch)</t>
  </si>
  <si>
    <t>Traktor 30-44 kW (41-49 PS)</t>
  </si>
  <si>
    <t>Tracteur, 33 kW, roues jumelées</t>
  </si>
  <si>
    <t>Traktor, 33 kW mit Doppelbereifung</t>
  </si>
  <si>
    <t>Tracteur 37-44 kW  (50-60 ch)</t>
  </si>
  <si>
    <t>Traktor 37-44 kW (50-60 PS)</t>
  </si>
  <si>
    <t>Tracteur, 41 kW, roues jumelées</t>
  </si>
  <si>
    <t>Traktor, 41 kW mit Doppelbereifung</t>
  </si>
  <si>
    <t>Tracteur 45-54 kW  (61-73 ch)</t>
  </si>
  <si>
    <t>Traktor 45-54 kW (61-73 PS)</t>
  </si>
  <si>
    <t>Tracteur, 50 kW, roues jumelées</t>
  </si>
  <si>
    <t>Traktor, 50 kW mit Doppelbereifung</t>
  </si>
  <si>
    <t>Tracteur 55-64 kW  (74-87 ch)</t>
  </si>
  <si>
    <t>Traktor 55-64 kW (74-87 PS)</t>
  </si>
  <si>
    <t>Tracteur, 60 kW, roues jumelées</t>
  </si>
  <si>
    <t>Traktor, 60 kW mit Doppelbereifung</t>
  </si>
  <si>
    <t>Tracteur 65-74 kW  (88-101 ch)</t>
  </si>
  <si>
    <t>Traktor 65-74 kW (88-101 PS)</t>
  </si>
  <si>
    <t>Tracteur, 70 kW, roues jumelées</t>
  </si>
  <si>
    <t>Traktor, 70 kW mit Doppelbereifung</t>
  </si>
  <si>
    <t>Tracteur 75-89 kW  (102-121 ch)</t>
  </si>
  <si>
    <t>Traktor 75-89 kW  (102-121 PS)</t>
  </si>
  <si>
    <t>Tracteur, 82 kW, roues jumelées</t>
  </si>
  <si>
    <t>Traktor, 82 kW mit Doppelbereifung</t>
  </si>
  <si>
    <t>Tracteur  90-104 kW  (122-142 ch)</t>
  </si>
  <si>
    <t>Traktor  90-104 kW  (122-142 PS)</t>
  </si>
  <si>
    <t>Tracteur 105-124 kW  (143-169 ch)</t>
  </si>
  <si>
    <t>Traktor 105-124 kW  (143-169 PS)</t>
  </si>
  <si>
    <t>Tracteur 125-149 kW  (171-203 ch)</t>
  </si>
  <si>
    <t>Traktor 125-149 kW  (171-203 PS)</t>
  </si>
  <si>
    <t>Tracteur 150-199 kW  (204-271 ch)</t>
  </si>
  <si>
    <t>Traktor 150-199 kW  (204-271 PS)</t>
  </si>
  <si>
    <t>Tracteur 200-250 kW  (272-340 ch)</t>
  </si>
  <si>
    <t>Traktor 200-250 kW  (272-340 PS)</t>
  </si>
  <si>
    <t>Tracteur étroit, 4 roues, 30 kW</t>
  </si>
  <si>
    <t>Schmalspurtraktor, 4-Rad, 30 kW</t>
  </si>
  <si>
    <t>Tracteur étroit, 4 roues, 45 kW</t>
  </si>
  <si>
    <t>Schmalspurtraktor, 4-Rad, 45 kW</t>
  </si>
  <si>
    <t>Tracteur étroit, 4 roues, 55 kW</t>
  </si>
  <si>
    <t>Schmalspurtraktor, 4-Rad, 55 kW</t>
  </si>
  <si>
    <t>Chenillette, avec dispositif de levage, 44 kW</t>
  </si>
  <si>
    <t>Trägerfahrz. mit Raupen + Hubwerk, 44 kW</t>
  </si>
  <si>
    <t>Tracteur articulé, 40 kW</t>
  </si>
  <si>
    <t>Traktor mit Knicklenkung, 40 kW</t>
  </si>
  <si>
    <t>Chenillette, 18 kW</t>
  </si>
  <si>
    <t>Trägerfahrzeug mit Raupen, 18 kW</t>
  </si>
  <si>
    <t>Pas de tracteur, uniquement trav. manuel (mettre 0)</t>
  </si>
  <si>
    <t>kein Traktor, nur Handarbeit (o eingeben)</t>
  </si>
  <si>
    <t>Roues jumelées, avant et arrière, &lt;64 kW</t>
  </si>
  <si>
    <t>Doppelbereifung vorne + hinten, bis 64 kW</t>
  </si>
  <si>
    <t>Roues jumelées, avant et arrière, &gt;65 kW</t>
  </si>
  <si>
    <t>Doppelbereifung vorne + hinten, ab 65 kW</t>
  </si>
  <si>
    <t>Tarif horaire travaux pour tâcherons</t>
  </si>
  <si>
    <t>Stundenlohnansatz Hilfsarbeit</t>
  </si>
  <si>
    <t>Tarif horaire travaux pour tiers</t>
  </si>
  <si>
    <t>Stundenlohnansatz Lohnarbeit</t>
  </si>
  <si>
    <t>Tous les travaux par tiers sont calculés sans frais de personnel supplémentaire</t>
  </si>
  <si>
    <t>alle Lohnarbeiten sind ohne Hilfspersonen berechnet</t>
  </si>
  <si>
    <t>en italique = salaire calculé</t>
  </si>
  <si>
    <t>kursiv = kalkulierte Lohnansätze</t>
  </si>
  <si>
    <t>Coûts des machines, temps de travail et de traction</t>
  </si>
  <si>
    <t>Maschinenkosten, Arbeits- und Zugkraftaufwand</t>
  </si>
  <si>
    <t>N°</t>
  </si>
  <si>
    <t>Nr.</t>
  </si>
  <si>
    <t>Procédé</t>
  </si>
  <si>
    <t>Verfahren</t>
  </si>
  <si>
    <t>U</t>
  </si>
  <si>
    <t>AE</t>
  </si>
  <si>
    <t>Frais var. tract. Fr./U</t>
  </si>
  <si>
    <t>variable
Zugkr. k.
Fr./AE</t>
  </si>
  <si>
    <t>Frais var. mach. Fr./U</t>
  </si>
  <si>
    <t>variable
Gerätek.
Fr./AE</t>
  </si>
  <si>
    <t>Loc. mach. Fr./U</t>
  </si>
  <si>
    <t>Miete
Gerät
Fr./AE</t>
  </si>
  <si>
    <t>Besoin MOh/U</t>
  </si>
  <si>
    <t>Akh-Bedarf
Akh/AE</t>
  </si>
  <si>
    <t>Besoin Th/U</t>
  </si>
  <si>
    <t>Zugkr.-
Bedarf
Th/AE</t>
  </si>
  <si>
    <t>Fr./U</t>
  </si>
  <si>
    <t>Fr./
AE</t>
  </si>
  <si>
    <t>var.
Zugk.
Fr./AE</t>
  </si>
  <si>
    <t>MOh/U</t>
  </si>
  <si>
    <t>Akh/
AE</t>
  </si>
  <si>
    <t>Th/U</t>
  </si>
  <si>
    <t>Th/
AE</t>
  </si>
  <si>
    <t>Propre ou location</t>
  </si>
  <si>
    <t>Eigen oder Miete</t>
  </si>
  <si>
    <t>Lohnarbeit</t>
  </si>
  <si>
    <t>Art*</t>
  </si>
  <si>
    <t>Source</t>
  </si>
  <si>
    <t>Quelle</t>
  </si>
  <si>
    <t>Eigene Mechanisierung E / Miete M / Lohnunternehmer LU</t>
  </si>
  <si>
    <t>Quantité / ha</t>
  </si>
  <si>
    <t>Menge/ha</t>
  </si>
  <si>
    <t>Coûts variables
(ou Entreprise)</t>
  </si>
  <si>
    <t>Variable Kosten (bzw. Arbeit von Dritten)</t>
  </si>
  <si>
    <t>Coûts fixes</t>
  </si>
  <si>
    <t>Fixe Kosten</t>
  </si>
  <si>
    <t>GESAMTTOTAL</t>
  </si>
  <si>
    <t>coûts machines fixes (Amortissement,…)</t>
  </si>
  <si>
    <t>Fixe Maschinenkosten (Abschreibungen etc.)</t>
  </si>
  <si>
    <t>DB / h</t>
  </si>
  <si>
    <t>MB / h</t>
  </si>
  <si>
    <t>Tierhaltung</t>
  </si>
  <si>
    <t>Fläche</t>
  </si>
  <si>
    <t>Kulturen</t>
  </si>
  <si>
    <t>Informationen und Fragen zum Betrieb</t>
  </si>
  <si>
    <t>weitere Betriebszweige</t>
  </si>
  <si>
    <t>Zuckerrübenanbau</t>
  </si>
  <si>
    <t xml:space="preserve">Saatmethode </t>
  </si>
  <si>
    <t>Endabstand</t>
  </si>
  <si>
    <t>Pflanzen</t>
  </si>
  <si>
    <t>Ertrag Zusammensetzung</t>
  </si>
  <si>
    <t>Zuckergehalt</t>
  </si>
  <si>
    <t>Zuckerausbeute</t>
  </si>
  <si>
    <t>Fremdbesatz</t>
  </si>
  <si>
    <t>ja</t>
  </si>
  <si>
    <t>nein</t>
  </si>
  <si>
    <t>Bewässerungsmöglichkeit vorhanden</t>
  </si>
  <si>
    <t>Jahre</t>
  </si>
  <si>
    <t>Anbauerfahrung mit Zuckerrüben</t>
  </si>
  <si>
    <t>Welches sind ihre grössten Herausforderungen/Probleme im Anbau?</t>
  </si>
  <si>
    <t>Welche Änderungen im Anbau werden Sie vornehmen?</t>
  </si>
  <si>
    <t>Werden Sie auch in den nächsten Jahren Zuckerrüben anbauen?</t>
  </si>
  <si>
    <t>Wo liegt bei Ihnen die "Schmerzgrenze" um den Anbau aufzugeben?</t>
  </si>
  <si>
    <t>Ihre Bedürfnisse von Seiten der Beratung / Züchtung / Verband?</t>
  </si>
  <si>
    <t>Weitere Bemerkungen</t>
  </si>
  <si>
    <t>Tableau de bord de l'exploitation</t>
  </si>
  <si>
    <t>autres branches d'exploitation</t>
  </si>
  <si>
    <t>Surface</t>
  </si>
  <si>
    <t>Cultures</t>
  </si>
  <si>
    <t>Informations et questions sur l'exploitation</t>
  </si>
  <si>
    <t>Production animale</t>
  </si>
  <si>
    <t>Culture de betteraves sucrières</t>
  </si>
  <si>
    <t xml:space="preserve">Méthode de semis </t>
  </si>
  <si>
    <t>Rendement Composition</t>
  </si>
  <si>
    <t>Semis en place</t>
  </si>
  <si>
    <t>Semis à eclaircir</t>
  </si>
  <si>
    <t>plantons</t>
  </si>
  <si>
    <t>Teneur moyenne en sucre</t>
  </si>
  <si>
    <t>Rendement sucre</t>
  </si>
  <si>
    <t>Eléments étrangers</t>
  </si>
  <si>
    <t>oui</t>
  </si>
  <si>
    <t>non</t>
  </si>
  <si>
    <t>Possibilité d'irrigation disponible</t>
  </si>
  <si>
    <t>Travaux de transport franco gare ou usine de betteraves sucrières</t>
  </si>
  <si>
    <t>Transportarbeiten franko Bahnhof bzw. Zuckerrübenfabrik</t>
  </si>
  <si>
    <t>Expérience en culture de betteraves sucrières</t>
  </si>
  <si>
    <t>Années</t>
  </si>
  <si>
    <t>Quels sont vos principaux défis/problèmes de culture ?</t>
  </si>
  <si>
    <t>Quels changements allez-vous apporter à la culture ?</t>
  </si>
  <si>
    <t>Allez-vous continuer à cultiver des betteraves sucrières dans les années à venir ?</t>
  </si>
  <si>
    <t>Où se situe pour vous le « seuil de douleur » pour abandonner la culture ?</t>
  </si>
  <si>
    <t>Vos besoins du côté de la vulgarisation / de la sélection / de l'association ?</t>
  </si>
  <si>
    <t>Autres remarques</t>
  </si>
  <si>
    <t>Betriebsspiegel</t>
  </si>
  <si>
    <t>Calculateur MB</t>
  </si>
  <si>
    <t>Version 1.04</t>
  </si>
  <si>
    <t>MB horaire</t>
  </si>
  <si>
    <t>DB pro Stunde</t>
  </si>
  <si>
    <t>Autres contributions</t>
  </si>
  <si>
    <t xml:space="preserve">Weitere Beiträge </t>
  </si>
  <si>
    <t>IP-Suisse : Prime Fr. 60.00 / tonne rendement en sucre</t>
  </si>
  <si>
    <t>IP-Suisse Anbau: Prämie Fr. 60.00 /t Zuckerertrag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</si>
</sst>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 * #,##0.00_ ;_ * \-#,##0.00_ ;_ * &quot;-&quot;??_ ;_ @_ "/>
    <numFmt numFmtId="165" formatCode="0\ &quot;dt&quot;"/>
    <numFmt numFmtId="166" formatCode="0\ &quot;Mt.&quot;"/>
    <numFmt numFmtId="167" formatCode="\ \ @"/>
    <numFmt numFmtId="168" formatCode="0.0%"/>
    <numFmt numFmtId="169" formatCode="0.0"/>
    <numFmt numFmtId="170" formatCode="0\ &quot;Monate&quot;"/>
    <numFmt numFmtId="171" formatCode="#,##0\ &quot;Fr./h&quot;"/>
    <numFmt numFmtId="172" formatCode="0\ &quot;mois&quot;"/>
    <numFmt numFmtId="173" formatCode="#\ ##0\ &quot;ha&quot;"/>
    <numFmt numFmtId="174" formatCode="#\ ##0\ &quot;t&quot;"/>
    <numFmt numFmtId="175" formatCode="#\ ##0\ &quot;m3&quot;"/>
    <numFmt numFmtId="176" formatCode="#,##0.0"/>
  </numFmts>
  <fonts count="45">
    <font>
      <sz val="10"/>
      <name val="Helvetica"/>
    </font>
    <font>
      <sz val="9"/>
      <name val="Helvetica"/>
      <family val="2"/>
    </font>
    <font>
      <sz val="10"/>
      <name val="Helvetica"/>
      <family val="2"/>
    </font>
    <font>
      <sz val="10"/>
      <name val="Arial"/>
      <family val="2"/>
    </font>
    <font>
      <b/>
      <sz val="12"/>
      <name val="Helvetica"/>
      <family val="2"/>
    </font>
    <font>
      <sz val="14"/>
      <name val="Helvetica"/>
      <family val="2"/>
    </font>
    <font>
      <sz val="10"/>
      <name val="Frutiger 45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11"/>
      <name val="Arial"/>
      <family val="2"/>
    </font>
    <font>
      <b/>
      <i/>
      <sz val="9"/>
      <name val="Arial"/>
      <family val="2"/>
    </font>
    <font>
      <sz val="9"/>
      <color indexed="8"/>
      <name val="Arial"/>
      <family val="2"/>
    </font>
    <font>
      <i/>
      <sz val="9"/>
      <name val="Arial"/>
      <family val="2"/>
    </font>
    <font>
      <sz val="9"/>
      <color indexed="12"/>
      <name val="Arial"/>
      <family val="2"/>
    </font>
    <font>
      <sz val="9"/>
      <color theme="1" tint="4.9989318521683403E-2"/>
      <name val="Arial"/>
      <family val="2"/>
    </font>
    <font>
      <sz val="9"/>
      <color theme="0"/>
      <name val="Arial"/>
      <family val="2"/>
    </font>
    <font>
      <sz val="9"/>
      <name val="Tahoma"/>
      <family val="2"/>
    </font>
    <font>
      <sz val="11"/>
      <color theme="1"/>
      <name val="Tahoma"/>
      <family val="2"/>
    </font>
    <font>
      <b/>
      <sz val="10"/>
      <name val="Helvetica"/>
    </font>
    <font>
      <b/>
      <sz val="11"/>
      <name val="Helvetica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b/>
      <sz val="8"/>
      <name val="Arial"/>
      <family val="2"/>
    </font>
    <font>
      <sz val="7.5"/>
      <name val="Arial"/>
      <family val="2"/>
    </font>
    <font>
      <i/>
      <sz val="8"/>
      <name val="Arial"/>
      <family val="2"/>
    </font>
    <font>
      <sz val="9"/>
      <name val="Frutiger 45"/>
      <family val="2"/>
    </font>
    <font>
      <sz val="7"/>
      <name val="Arial"/>
      <family val="2"/>
    </font>
    <font>
      <sz val="8"/>
      <color indexed="81"/>
      <name val="Tahoma"/>
      <family val="2"/>
    </font>
    <font>
      <sz val="8"/>
      <name val="Helvetica"/>
    </font>
    <font>
      <i/>
      <sz val="10"/>
      <name val="Helvetica"/>
    </font>
    <font>
      <b/>
      <sz val="24"/>
      <color theme="8" tint="-0.249977111117893"/>
      <name val="Arial"/>
      <family val="2"/>
    </font>
    <font>
      <b/>
      <sz val="16"/>
      <name val="Arial"/>
      <family val="2"/>
    </font>
    <font>
      <b/>
      <sz val="24"/>
      <color theme="6" tint="-0.499984740745262"/>
      <name val="Helvetica"/>
    </font>
    <font>
      <b/>
      <sz val="11"/>
      <color theme="0"/>
      <name val="Helvetica"/>
    </font>
    <font>
      <b/>
      <sz val="24"/>
      <name val="Arial"/>
      <family val="2"/>
    </font>
    <font>
      <b/>
      <sz val="24"/>
      <color theme="5" tint="-0.499984740745262"/>
      <name val="Arial"/>
      <family val="2"/>
    </font>
    <font>
      <b/>
      <sz val="14"/>
      <name val="Frutiger 45"/>
    </font>
    <font>
      <b/>
      <sz val="10"/>
      <name val="Frutiger 45"/>
    </font>
    <font>
      <b/>
      <sz val="12"/>
      <name val="Frutiger 45"/>
    </font>
    <font>
      <sz val="10"/>
      <name val="Frutiger 45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C00"/>
        <bgColor indexed="64"/>
      </patternFill>
    </fill>
  </fills>
  <borders count="74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theme="0"/>
      </right>
      <top/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theme="0"/>
      </right>
      <top style="hair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 style="hair">
        <color auto="1"/>
      </top>
      <bottom style="hair">
        <color auto="1"/>
      </bottom>
      <diagonal/>
    </border>
    <border>
      <left/>
      <right style="thin">
        <color theme="0"/>
      </right>
      <top style="hair">
        <color auto="1"/>
      </top>
      <bottom/>
      <diagonal/>
    </border>
    <border>
      <left style="thin">
        <color theme="0"/>
      </left>
      <right style="thin">
        <color theme="0"/>
      </right>
      <top style="hair">
        <color auto="1"/>
      </top>
      <bottom/>
      <diagonal/>
    </border>
    <border>
      <left style="thin">
        <color theme="0"/>
      </left>
      <right/>
      <top style="hair">
        <color auto="1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theme="0"/>
      </right>
      <top style="hair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thin">
        <color indexed="64"/>
      </bottom>
      <diagonal/>
    </border>
    <border>
      <left style="thin">
        <color theme="0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thin">
        <color theme="0"/>
      </right>
      <top style="thin">
        <color auto="1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hair">
        <color indexed="64"/>
      </bottom>
      <diagonal/>
    </border>
    <border>
      <left style="thin">
        <color theme="0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 style="hair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hair">
        <color theme="1"/>
      </bottom>
      <diagonal/>
    </border>
    <border>
      <left style="thin">
        <color theme="0"/>
      </left>
      <right style="thin">
        <color theme="0"/>
      </right>
      <top style="hair">
        <color theme="1"/>
      </top>
      <bottom style="hair">
        <color theme="1"/>
      </bottom>
      <diagonal/>
    </border>
    <border>
      <left style="thin">
        <color theme="0"/>
      </left>
      <right style="thin">
        <color theme="0"/>
      </right>
      <top style="hair">
        <color theme="1"/>
      </top>
      <bottom/>
      <diagonal/>
    </border>
    <border>
      <left style="thin">
        <color indexed="9"/>
      </left>
      <right style="thin">
        <color indexed="9"/>
      </right>
      <top/>
      <bottom style="hair">
        <color theme="1" tint="0.499984740745262"/>
      </bottom>
      <diagonal/>
    </border>
    <border>
      <left style="thin">
        <color indexed="9"/>
      </left>
      <right style="thin">
        <color indexed="9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indexed="9"/>
      </left>
      <right style="thin">
        <color indexed="9"/>
      </right>
      <top style="hair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  <border>
      <left/>
      <right style="thin">
        <color indexed="9"/>
      </right>
      <top/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thin">
        <color indexed="9"/>
      </right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/>
      <diagonal/>
    </border>
    <border>
      <left/>
      <right style="thin">
        <color indexed="9"/>
      </right>
      <top style="hair">
        <color theme="1" tint="0.499984740745262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hair">
        <color theme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theme="0"/>
      </right>
      <top style="thick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ck">
        <color auto="1"/>
      </top>
      <bottom style="thin">
        <color auto="1"/>
      </bottom>
      <diagonal/>
    </border>
    <border>
      <left style="thin">
        <color theme="0"/>
      </left>
      <right/>
      <top style="thick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 style="hair">
        <color indexed="64"/>
      </bottom>
      <diagonal/>
    </border>
  </borders>
  <cellStyleXfs count="11">
    <xf numFmtId="0" fontId="0" fillId="0" borderId="0"/>
    <xf numFmtId="0" fontId="5" fillId="0" borderId="0"/>
    <xf numFmtId="0" fontId="1" fillId="0" borderId="0">
      <protection locked="0"/>
    </xf>
    <xf numFmtId="0" fontId="2" fillId="0" borderId="0"/>
    <xf numFmtId="0" fontId="2" fillId="0" borderId="0"/>
    <xf numFmtId="0" fontId="2" fillId="0" borderId="0"/>
    <xf numFmtId="0" fontId="4" fillId="0" borderId="0" applyNumberFormat="0" applyFont="0" applyBorder="0" applyAlignment="0" applyProtection="0">
      <alignment horizontal="left"/>
    </xf>
    <xf numFmtId="0" fontId="20" fillId="0" borderId="0"/>
    <xf numFmtId="0" fontId="21" fillId="6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</cellStyleXfs>
  <cellXfs count="542">
    <xf numFmtId="0" fontId="0" fillId="0" borderId="0" xfId="0"/>
    <xf numFmtId="0" fontId="6" fillId="0" borderId="0" xfId="0" applyFont="1"/>
    <xf numFmtId="0" fontId="12" fillId="0" borderId="0" xfId="5" applyFont="1" applyAlignment="1">
      <alignment vertical="center"/>
    </xf>
    <xf numFmtId="0" fontId="14" fillId="0" borderId="0" xfId="0" applyFont="1" applyAlignment="1">
      <alignment vertical="center"/>
    </xf>
    <xf numFmtId="167" fontId="12" fillId="0" borderId="0" xfId="5" applyNumberFormat="1" applyFont="1" applyAlignment="1">
      <alignment vertical="center"/>
    </xf>
    <xf numFmtId="1" fontId="12" fillId="0" borderId="1" xfId="3" applyNumberFormat="1" applyFont="1" applyBorder="1" applyAlignment="1">
      <alignment horizontal="center" vertical="center"/>
    </xf>
    <xf numFmtId="4" fontId="3" fillId="0" borderId="1" xfId="3" applyNumberFormat="1" applyFont="1" applyBorder="1"/>
    <xf numFmtId="0" fontId="12" fillId="0" borderId="1" xfId="3" applyFont="1" applyBorder="1" applyAlignment="1">
      <alignment horizontal="center" vertical="center"/>
    </xf>
    <xf numFmtId="3" fontId="12" fillId="0" borderId="1" xfId="3" applyNumberFormat="1" applyFont="1" applyBorder="1" applyAlignment="1">
      <alignment horizontal="center" vertical="center"/>
    </xf>
    <xf numFmtId="0" fontId="12" fillId="3" borderId="1" xfId="5" applyFont="1" applyFill="1" applyBorder="1" applyAlignment="1">
      <alignment horizontal="center" vertical="center"/>
    </xf>
    <xf numFmtId="0" fontId="14" fillId="0" borderId="0" xfId="5" applyFont="1" applyAlignment="1">
      <alignment vertical="center"/>
    </xf>
    <xf numFmtId="0" fontId="3" fillId="0" borderId="0" xfId="4" applyFont="1"/>
    <xf numFmtId="168" fontId="19" fillId="0" borderId="1" xfId="5" applyNumberFormat="1" applyFont="1" applyBorder="1" applyAlignment="1">
      <alignment horizontal="center" vertical="center"/>
    </xf>
    <xf numFmtId="38" fontId="19" fillId="0" borderId="1" xfId="5" applyNumberFormat="1" applyFont="1" applyBorder="1" applyAlignment="1">
      <alignment horizontal="center" vertical="center"/>
    </xf>
    <xf numFmtId="166" fontId="12" fillId="4" borderId="0" xfId="5" applyNumberFormat="1" applyFont="1" applyFill="1" applyAlignment="1">
      <alignment vertical="center"/>
    </xf>
    <xf numFmtId="166" fontId="12" fillId="4" borderId="0" xfId="5" applyNumberFormat="1" applyFont="1" applyFill="1" applyAlignment="1">
      <alignment horizontal="center" vertical="center"/>
    </xf>
    <xf numFmtId="167" fontId="12" fillId="4" borderId="0" xfId="5" applyNumberFormat="1" applyFont="1" applyFill="1" applyAlignment="1">
      <alignment vertical="center"/>
    </xf>
    <xf numFmtId="0" fontId="12" fillId="5" borderId="0" xfId="5" applyFont="1" applyFill="1" applyAlignment="1">
      <alignment vertical="center"/>
    </xf>
    <xf numFmtId="0" fontId="11" fillId="0" borderId="0" xfId="5" applyFont="1" applyAlignment="1">
      <alignment vertical="center"/>
    </xf>
    <xf numFmtId="0" fontId="16" fillId="0" borderId="0" xfId="5" applyFont="1" applyAlignment="1">
      <alignment vertical="center"/>
    </xf>
    <xf numFmtId="0" fontId="12" fillId="0" borderId="0" xfId="5" applyFont="1"/>
    <xf numFmtId="0" fontId="12" fillId="0" borderId="0" xfId="5" applyFont="1" applyAlignment="1">
      <alignment horizontal="center"/>
    </xf>
    <xf numFmtId="0" fontId="3" fillId="0" borderId="0" xfId="5" applyFont="1" applyAlignment="1">
      <alignment vertical="center"/>
    </xf>
    <xf numFmtId="0" fontId="10" fillId="0" borderId="0" xfId="5" applyFont="1" applyAlignment="1">
      <alignment vertical="center"/>
    </xf>
    <xf numFmtId="166" fontId="11" fillId="4" borderId="0" xfId="5" applyNumberFormat="1" applyFont="1" applyFill="1" applyAlignment="1">
      <alignment vertical="center"/>
    </xf>
    <xf numFmtId="166" fontId="11" fillId="4" borderId="0" xfId="5" applyNumberFormat="1" applyFont="1" applyFill="1" applyAlignment="1">
      <alignment horizontal="center" vertical="center"/>
    </xf>
    <xf numFmtId="1" fontId="12" fillId="4" borderId="0" xfId="5" applyNumberFormat="1" applyFont="1" applyFill="1" applyAlignment="1">
      <alignment horizontal="center" vertical="center"/>
    </xf>
    <xf numFmtId="9" fontId="12" fillId="4" borderId="0" xfId="5" applyNumberFormat="1" applyFont="1" applyFill="1" applyAlignment="1">
      <alignment horizontal="center" vertical="center"/>
    </xf>
    <xf numFmtId="38" fontId="12" fillId="4" borderId="0" xfId="5" applyNumberFormat="1" applyFont="1" applyFill="1" applyAlignment="1">
      <alignment horizontal="center" vertical="center"/>
    </xf>
    <xf numFmtId="0" fontId="11" fillId="5" borderId="0" xfId="5" applyFont="1" applyFill="1" applyAlignment="1">
      <alignment vertical="center"/>
    </xf>
    <xf numFmtId="38" fontId="12" fillId="0" borderId="1" xfId="3" applyNumberFormat="1" applyFont="1" applyBorder="1" applyAlignment="1">
      <alignment horizontal="center" vertical="center"/>
    </xf>
    <xf numFmtId="3" fontId="12" fillId="0" borderId="1" xfId="5" applyNumberFormat="1" applyFont="1" applyBorder="1" applyAlignment="1">
      <alignment horizontal="center" vertical="center"/>
    </xf>
    <xf numFmtId="0" fontId="9" fillId="0" borderId="0" xfId="5" applyFont="1" applyAlignment="1">
      <alignment vertical="center"/>
    </xf>
    <xf numFmtId="1" fontId="12" fillId="2" borderId="1" xfId="5" applyNumberFormat="1" applyFont="1" applyFill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2" fillId="4" borderId="0" xfId="0" applyFont="1" applyFill="1"/>
    <xf numFmtId="0" fontId="0" fillId="4" borderId="0" xfId="0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22" fillId="4" borderId="4" xfId="0" applyFont="1" applyFill="1" applyBorder="1" applyAlignment="1">
      <alignment horizontal="center"/>
    </xf>
    <xf numFmtId="0" fontId="0" fillId="4" borderId="0" xfId="0" applyFill="1" applyAlignment="1">
      <alignment horizontal="left"/>
    </xf>
    <xf numFmtId="0" fontId="0" fillId="0" borderId="0" xfId="0" applyAlignment="1">
      <alignment horizontal="left"/>
    </xf>
    <xf numFmtId="0" fontId="22" fillId="4" borderId="3" xfId="0" applyFont="1" applyFill="1" applyBorder="1" applyAlignment="1">
      <alignment horizontal="left"/>
    </xf>
    <xf numFmtId="0" fontId="23" fillId="0" borderId="0" xfId="0" applyFont="1"/>
    <xf numFmtId="0" fontId="12" fillId="10" borderId="1" xfId="5" applyFont="1" applyFill="1" applyBorder="1" applyAlignment="1">
      <alignment horizontal="center" vertical="center"/>
    </xf>
    <xf numFmtId="0" fontId="12" fillId="10" borderId="0" xfId="5" applyFont="1" applyFill="1" applyAlignment="1">
      <alignment horizontal="right" vertical="center"/>
    </xf>
    <xf numFmtId="0" fontId="12" fillId="10" borderId="0" xfId="5" applyFont="1" applyFill="1" applyAlignment="1">
      <alignment horizontal="center" vertical="center"/>
    </xf>
    <xf numFmtId="0" fontId="9" fillId="10" borderId="0" xfId="5" applyFont="1" applyFill="1" applyAlignment="1">
      <alignment horizontal="centerContinuous" vertical="center" wrapText="1"/>
    </xf>
    <xf numFmtId="0" fontId="10" fillId="10" borderId="0" xfId="5" applyFont="1" applyFill="1" applyAlignment="1">
      <alignment horizontal="centerContinuous" vertical="center"/>
    </xf>
    <xf numFmtId="0" fontId="10" fillId="10" borderId="0" xfId="5" applyFont="1" applyFill="1" applyAlignment="1">
      <alignment horizontal="center" vertical="center"/>
    </xf>
    <xf numFmtId="0" fontId="12" fillId="10" borderId="0" xfId="5" applyFont="1" applyFill="1" applyAlignment="1">
      <alignment vertical="center"/>
    </xf>
    <xf numFmtId="167" fontId="12" fillId="10" borderId="0" xfId="5" applyNumberFormat="1" applyFont="1" applyFill="1" applyAlignment="1">
      <alignment horizontal="left" vertical="center"/>
    </xf>
    <xf numFmtId="169" fontId="12" fillId="10" borderId="1" xfId="5" applyNumberFormat="1" applyFont="1" applyFill="1" applyBorder="1" applyAlignment="1">
      <alignment horizontal="center" vertical="center"/>
    </xf>
    <xf numFmtId="2" fontId="12" fillId="10" borderId="1" xfId="5" applyNumberFormat="1" applyFont="1" applyFill="1" applyBorder="1" applyAlignment="1">
      <alignment horizontal="center" vertical="center"/>
    </xf>
    <xf numFmtId="167" fontId="12" fillId="10" borderId="0" xfId="5" applyNumberFormat="1" applyFont="1" applyFill="1" applyAlignment="1">
      <alignment vertical="center"/>
    </xf>
    <xf numFmtId="1" fontId="12" fillId="10" borderId="1" xfId="5" applyNumberFormat="1" applyFont="1" applyFill="1" applyBorder="1" applyAlignment="1">
      <alignment horizontal="center" vertical="center"/>
    </xf>
    <xf numFmtId="169" fontId="17" fillId="10" borderId="1" xfId="5" applyNumberFormat="1" applyFont="1" applyFill="1" applyBorder="1" applyAlignment="1" applyProtection="1">
      <alignment horizontal="center" vertical="center"/>
      <protection locked="0"/>
    </xf>
    <xf numFmtId="169" fontId="18" fillId="10" borderId="1" xfId="5" applyNumberFormat="1" applyFont="1" applyFill="1" applyBorder="1" applyAlignment="1" applyProtection="1">
      <alignment horizontal="center" vertical="center"/>
      <protection locked="0"/>
    </xf>
    <xf numFmtId="10" fontId="12" fillId="10" borderId="1" xfId="5" applyNumberFormat="1" applyFont="1" applyFill="1" applyBorder="1" applyAlignment="1">
      <alignment horizontal="center" vertical="center"/>
    </xf>
    <xf numFmtId="38" fontId="12" fillId="10" borderId="1" xfId="5" applyNumberFormat="1" applyFont="1" applyFill="1" applyBorder="1" applyAlignment="1">
      <alignment horizontal="center" vertical="center"/>
    </xf>
    <xf numFmtId="0" fontId="7" fillId="10" borderId="0" xfId="5" applyFont="1" applyFill="1" applyAlignment="1">
      <alignment vertical="center"/>
    </xf>
    <xf numFmtId="0" fontId="7" fillId="10" borderId="0" xfId="5" applyFont="1" applyFill="1" applyAlignment="1">
      <alignment horizontal="center" vertical="center"/>
    </xf>
    <xf numFmtId="0" fontId="7" fillId="10" borderId="1" xfId="5" applyFont="1" applyFill="1" applyBorder="1" applyAlignment="1">
      <alignment horizontal="center" vertical="center"/>
    </xf>
    <xf numFmtId="0" fontId="3" fillId="10" borderId="0" xfId="3" applyFont="1" applyFill="1"/>
    <xf numFmtId="0" fontId="3" fillId="10" borderId="0" xfId="3" applyFont="1" applyFill="1" applyAlignment="1">
      <alignment horizontal="center"/>
    </xf>
    <xf numFmtId="1" fontId="12" fillId="10" borderId="1" xfId="3" applyNumberFormat="1" applyFont="1" applyFill="1" applyBorder="1" applyAlignment="1">
      <alignment horizontal="center" vertical="center"/>
    </xf>
    <xf numFmtId="4" fontId="3" fillId="10" borderId="1" xfId="3" applyNumberFormat="1" applyFont="1" applyFill="1" applyBorder="1"/>
    <xf numFmtId="0" fontId="12" fillId="10" borderId="0" xfId="3" applyFont="1" applyFill="1" applyAlignment="1">
      <alignment vertical="center"/>
    </xf>
    <xf numFmtId="0" fontId="12" fillId="10" borderId="0" xfId="3" applyFont="1" applyFill="1" applyAlignment="1">
      <alignment horizontal="center" vertical="center"/>
    </xf>
    <xf numFmtId="0" fontId="12" fillId="10" borderId="1" xfId="3" applyFont="1" applyFill="1" applyBorder="1" applyAlignment="1">
      <alignment horizontal="center" vertical="center"/>
    </xf>
    <xf numFmtId="3" fontId="12" fillId="10" borderId="1" xfId="3" applyNumberFormat="1" applyFont="1" applyFill="1" applyBorder="1" applyAlignment="1">
      <alignment horizontal="center" vertical="center"/>
    </xf>
    <xf numFmtId="166" fontId="16" fillId="10" borderId="0" xfId="5" applyNumberFormat="1" applyFont="1" applyFill="1" applyAlignment="1">
      <alignment vertical="center"/>
    </xf>
    <xf numFmtId="166" fontId="16" fillId="10" borderId="0" xfId="5" applyNumberFormat="1" applyFont="1" applyFill="1" applyAlignment="1">
      <alignment horizontal="center" vertical="center"/>
    </xf>
    <xf numFmtId="1" fontId="16" fillId="10" borderId="1" xfId="5" applyNumberFormat="1" applyFont="1" applyFill="1" applyBorder="1" applyAlignment="1">
      <alignment horizontal="center" vertical="center"/>
    </xf>
    <xf numFmtId="9" fontId="16" fillId="10" borderId="1" xfId="5" applyNumberFormat="1" applyFont="1" applyFill="1" applyBorder="1" applyAlignment="1">
      <alignment horizontal="center" vertical="center"/>
    </xf>
    <xf numFmtId="38" fontId="14" fillId="10" borderId="1" xfId="5" applyNumberFormat="1" applyFont="1" applyFill="1" applyBorder="1" applyAlignment="1">
      <alignment horizontal="center" vertical="center"/>
    </xf>
    <xf numFmtId="166" fontId="12" fillId="10" borderId="0" xfId="5" applyNumberFormat="1" applyFont="1" applyFill="1" applyAlignment="1">
      <alignment vertical="center"/>
    </xf>
    <xf numFmtId="166" fontId="12" fillId="10" borderId="0" xfId="5" applyNumberFormat="1" applyFont="1" applyFill="1" applyAlignment="1">
      <alignment horizontal="center" vertical="center"/>
    </xf>
    <xf numFmtId="9" fontId="12" fillId="10" borderId="1" xfId="5" applyNumberFormat="1" applyFont="1" applyFill="1" applyBorder="1" applyAlignment="1">
      <alignment horizontal="center" vertical="center"/>
    </xf>
    <xf numFmtId="38" fontId="11" fillId="10" borderId="1" xfId="5" applyNumberFormat="1" applyFont="1" applyFill="1" applyBorder="1" applyAlignment="1">
      <alignment horizontal="center" vertical="center"/>
    </xf>
    <xf numFmtId="0" fontId="26" fillId="0" borderId="0" xfId="9" applyFont="1" applyAlignment="1">
      <alignment horizontal="left"/>
    </xf>
    <xf numFmtId="0" fontId="27" fillId="0" borderId="0" xfId="9" applyFont="1" applyAlignment="1">
      <alignment horizontal="left" vertical="center"/>
    </xf>
    <xf numFmtId="14" fontId="8" fillId="0" borderId="0" xfId="9" applyNumberFormat="1" applyFont="1" applyAlignment="1">
      <alignment horizontal="left" vertical="center"/>
    </xf>
    <xf numFmtId="0" fontId="8" fillId="0" borderId="0" xfId="9" applyFont="1" applyAlignment="1">
      <alignment horizontal="left" vertical="center"/>
    </xf>
    <xf numFmtId="0" fontId="7" fillId="0" borderId="16" xfId="9" applyFont="1" applyBorder="1" applyAlignment="1">
      <alignment horizontal="center"/>
    </xf>
    <xf numFmtId="0" fontId="7" fillId="0" borderId="0" xfId="9" applyFont="1" applyAlignment="1">
      <alignment horizontal="center"/>
    </xf>
    <xf numFmtId="0" fontId="7" fillId="5" borderId="0" xfId="9" applyFont="1" applyFill="1" applyAlignment="1">
      <alignment horizontal="left"/>
    </xf>
    <xf numFmtId="0" fontId="7" fillId="0" borderId="0" xfId="9" applyFont="1" applyAlignment="1">
      <alignment horizontal="left"/>
    </xf>
    <xf numFmtId="176" fontId="8" fillId="0" borderId="0" xfId="9" applyNumberFormat="1" applyFont="1" applyAlignment="1">
      <alignment horizontal="center"/>
    </xf>
    <xf numFmtId="0" fontId="12" fillId="5" borderId="0" xfId="9" applyFont="1" applyFill="1" applyAlignment="1">
      <alignment horizontal="left"/>
    </xf>
    <xf numFmtId="0" fontId="12" fillId="0" borderId="0" xfId="9" applyFont="1" applyAlignment="1">
      <alignment horizontal="left"/>
    </xf>
    <xf numFmtId="0" fontId="8" fillId="4" borderId="16" xfId="9" applyFont="1" applyFill="1" applyBorder="1" applyAlignment="1">
      <alignment horizontal="center"/>
    </xf>
    <xf numFmtId="2" fontId="8" fillId="4" borderId="0" xfId="9" applyNumberFormat="1" applyFont="1" applyFill="1" applyAlignment="1">
      <alignment horizontal="center"/>
    </xf>
    <xf numFmtId="176" fontId="8" fillId="0" borderId="0" xfId="9" applyNumberFormat="1" applyFont="1" applyAlignment="1">
      <alignment horizontal="center" vertical="center"/>
    </xf>
    <xf numFmtId="0" fontId="12" fillId="5" borderId="0" xfId="9" applyFont="1" applyFill="1" applyAlignment="1">
      <alignment horizontal="left" vertical="center"/>
    </xf>
    <xf numFmtId="0" fontId="7" fillId="0" borderId="9" xfId="9" applyFont="1" applyBorder="1" applyAlignment="1">
      <alignment horizontal="center"/>
    </xf>
    <xf numFmtId="2" fontId="27" fillId="0" borderId="11" xfId="9" applyNumberFormat="1" applyFont="1" applyBorder="1" applyAlignment="1">
      <alignment horizontal="center"/>
    </xf>
    <xf numFmtId="0" fontId="30" fillId="5" borderId="0" xfId="9" applyFont="1" applyFill="1" applyAlignment="1">
      <alignment horizontal="left"/>
    </xf>
    <xf numFmtId="0" fontId="30" fillId="0" borderId="0" xfId="9" applyFont="1" applyAlignment="1">
      <alignment horizontal="left"/>
    </xf>
    <xf numFmtId="2" fontId="27" fillId="0" borderId="0" xfId="9" applyNumberFormat="1" applyFont="1" applyAlignment="1">
      <alignment horizontal="center"/>
    </xf>
    <xf numFmtId="2" fontId="27" fillId="0" borderId="19" xfId="9" applyNumberFormat="1" applyFont="1" applyBorder="1" applyAlignment="1">
      <alignment horizontal="center"/>
    </xf>
    <xf numFmtId="1" fontId="27" fillId="0" borderId="0" xfId="9" applyNumberFormat="1" applyFont="1" applyAlignment="1">
      <alignment horizontal="center"/>
    </xf>
    <xf numFmtId="0" fontId="12" fillId="7" borderId="14" xfId="9" applyFont="1" applyFill="1" applyBorder="1" applyAlignment="1">
      <alignment horizontal="center"/>
    </xf>
    <xf numFmtId="0" fontId="7" fillId="7" borderId="8" xfId="9" applyFont="1" applyFill="1" applyBorder="1" applyAlignment="1">
      <alignment horizontal="left"/>
    </xf>
    <xf numFmtId="0" fontId="8" fillId="7" borderId="15" xfId="9" applyFont="1" applyFill="1" applyBorder="1" applyAlignment="1">
      <alignment horizontal="center"/>
    </xf>
    <xf numFmtId="0" fontId="8" fillId="7" borderId="14" xfId="9" applyFont="1" applyFill="1" applyBorder="1" applyAlignment="1">
      <alignment horizontal="center"/>
    </xf>
    <xf numFmtId="0" fontId="31" fillId="7" borderId="20" xfId="9" applyFont="1" applyFill="1" applyBorder="1" applyAlignment="1">
      <alignment horizontal="center" wrapText="1"/>
    </xf>
    <xf numFmtId="0" fontId="8" fillId="7" borderId="20" xfId="9" applyFont="1" applyFill="1" applyBorder="1" applyAlignment="1">
      <alignment horizontal="center"/>
    </xf>
    <xf numFmtId="3" fontId="12" fillId="0" borderId="0" xfId="9" applyNumberFormat="1" applyFont="1" applyAlignment="1">
      <alignment horizontal="center"/>
    </xf>
    <xf numFmtId="4" fontId="12" fillId="0" borderId="0" xfId="9" applyNumberFormat="1" applyFont="1" applyAlignment="1">
      <alignment horizontal="center"/>
    </xf>
    <xf numFmtId="0" fontId="8" fillId="9" borderId="16" xfId="9" applyFont="1" applyFill="1" applyBorder="1" applyAlignment="1">
      <alignment horizontal="center"/>
    </xf>
    <xf numFmtId="2" fontId="8" fillId="9" borderId="16" xfId="9" applyNumberFormat="1" applyFont="1" applyFill="1" applyBorder="1" applyAlignment="1">
      <alignment horizontal="center"/>
    </xf>
    <xf numFmtId="2" fontId="8" fillId="0" borderId="16" xfId="9" applyNumberFormat="1" applyFont="1" applyBorder="1" applyAlignment="1">
      <alignment horizontal="center"/>
    </xf>
    <xf numFmtId="2" fontId="8" fillId="9" borderId="14" xfId="9" applyNumberFormat="1" applyFont="1" applyFill="1" applyBorder="1" applyAlignment="1">
      <alignment horizontal="center"/>
    </xf>
    <xf numFmtId="4" fontId="12" fillId="9" borderId="0" xfId="9" applyNumberFormat="1" applyFont="1" applyFill="1"/>
    <xf numFmtId="2" fontId="8" fillId="9" borderId="16" xfId="9" applyNumberFormat="1" applyFont="1" applyFill="1" applyBorder="1" applyAlignment="1">
      <alignment horizontal="center" vertical="center"/>
    </xf>
    <xf numFmtId="2" fontId="8" fillId="9" borderId="0" xfId="9" applyNumberFormat="1" applyFont="1" applyFill="1" applyAlignment="1">
      <alignment horizontal="center"/>
    </xf>
    <xf numFmtId="2" fontId="8" fillId="9" borderId="0" xfId="9" applyNumberFormat="1" applyFont="1" applyFill="1" applyAlignment="1">
      <alignment horizontal="center" vertical="center"/>
    </xf>
    <xf numFmtId="0" fontId="8" fillId="9" borderId="0" xfId="9" applyFont="1" applyFill="1" applyAlignment="1">
      <alignment horizontal="center"/>
    </xf>
    <xf numFmtId="0" fontId="7" fillId="0" borderId="11" xfId="9" applyFont="1" applyBorder="1" applyAlignment="1">
      <alignment horizontal="center"/>
    </xf>
    <xf numFmtId="0" fontId="8" fillId="4" borderId="0" xfId="9" applyFont="1" applyFill="1" applyAlignment="1">
      <alignment horizontal="center"/>
    </xf>
    <xf numFmtId="0" fontId="31" fillId="7" borderId="18" xfId="9" applyFont="1" applyFill="1" applyBorder="1" applyAlignment="1">
      <alignment horizontal="center" wrapText="1"/>
    </xf>
    <xf numFmtId="2" fontId="8" fillId="9" borderId="18" xfId="9" applyNumberFormat="1" applyFont="1" applyFill="1" applyBorder="1" applyAlignment="1">
      <alignment horizontal="center"/>
    </xf>
    <xf numFmtId="2" fontId="8" fillId="0" borderId="18" xfId="9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22" fillId="0" borderId="0" xfId="0" applyFont="1"/>
    <xf numFmtId="0" fontId="0" fillId="9" borderId="4" xfId="0" applyFill="1" applyBorder="1"/>
    <xf numFmtId="0" fontId="0" fillId="9" borderId="5" xfId="0" applyFill="1" applyBorder="1"/>
    <xf numFmtId="0" fontId="0" fillId="9" borderId="0" xfId="0" applyFill="1"/>
    <xf numFmtId="3" fontId="12" fillId="12" borderId="1" xfId="3" applyNumberFormat="1" applyFont="1" applyFill="1" applyBorder="1" applyAlignment="1">
      <alignment horizontal="center" vertical="center"/>
    </xf>
    <xf numFmtId="2" fontId="22" fillId="4" borderId="0" xfId="0" applyNumberFormat="1" applyFont="1" applyFill="1"/>
    <xf numFmtId="0" fontId="34" fillId="4" borderId="0" xfId="0" applyFont="1" applyFill="1"/>
    <xf numFmtId="0" fontId="34" fillId="4" borderId="3" xfId="0" applyFont="1" applyFill="1" applyBorder="1"/>
    <xf numFmtId="0" fontId="34" fillId="4" borderId="3" xfId="0" applyFont="1" applyFill="1" applyBorder="1" applyAlignment="1">
      <alignment horizontal="center"/>
    </xf>
    <xf numFmtId="2" fontId="34" fillId="4" borderId="5" xfId="0" applyNumberFormat="1" applyFont="1" applyFill="1" applyBorder="1"/>
    <xf numFmtId="0" fontId="0" fillId="10" borderId="0" xfId="0" applyFill="1"/>
    <xf numFmtId="0" fontId="0" fillId="10" borderId="3" xfId="0" applyFill="1" applyBorder="1"/>
    <xf numFmtId="0" fontId="0" fillId="10" borderId="4" xfId="0" applyFill="1" applyBorder="1"/>
    <xf numFmtId="0" fontId="0" fillId="10" borderId="5" xfId="0" applyFill="1" applyBorder="1"/>
    <xf numFmtId="0" fontId="0" fillId="10" borderId="4" xfId="0" applyFill="1" applyBorder="1" applyAlignment="1">
      <alignment horizontal="center"/>
    </xf>
    <xf numFmtId="0" fontId="23" fillId="10" borderId="0" xfId="0" applyFont="1" applyFill="1" applyAlignment="1">
      <alignment horizontal="center" vertical="center"/>
    </xf>
    <xf numFmtId="0" fontId="22" fillId="10" borderId="0" xfId="0" applyFont="1" applyFill="1"/>
    <xf numFmtId="0" fontId="0" fillId="10" borderId="0" xfId="0" applyFill="1" applyAlignment="1">
      <alignment horizontal="left"/>
    </xf>
    <xf numFmtId="0" fontId="0" fillId="4" borderId="21" xfId="0" applyFill="1" applyBorder="1"/>
    <xf numFmtId="0" fontId="0" fillId="11" borderId="22" xfId="0" applyFill="1" applyBorder="1"/>
    <xf numFmtId="0" fontId="0" fillId="4" borderId="24" xfId="0" applyFill="1" applyBorder="1"/>
    <xf numFmtId="0" fontId="0" fillId="11" borderId="25" xfId="0" applyFill="1" applyBorder="1"/>
    <xf numFmtId="2" fontId="0" fillId="12" borderId="26" xfId="0" applyNumberFormat="1" applyFill="1" applyBorder="1"/>
    <xf numFmtId="2" fontId="0" fillId="12" borderId="23" xfId="0" applyNumberFormat="1" applyFill="1" applyBorder="1"/>
    <xf numFmtId="0" fontId="0" fillId="4" borderId="11" xfId="0" applyFill="1" applyBorder="1"/>
    <xf numFmtId="0" fontId="0" fillId="4" borderId="27" xfId="0" applyFill="1" applyBorder="1"/>
    <xf numFmtId="0" fontId="0" fillId="4" borderId="31" xfId="0" applyFill="1" applyBorder="1"/>
    <xf numFmtId="0" fontId="0" fillId="11" borderId="32" xfId="0" applyFill="1" applyBorder="1"/>
    <xf numFmtId="2" fontId="0" fillId="12" borderId="33" xfId="0" applyNumberFormat="1" applyFill="1" applyBorder="1"/>
    <xf numFmtId="2" fontId="0" fillId="12" borderId="30" xfId="0" applyNumberFormat="1" applyFill="1" applyBorder="1"/>
    <xf numFmtId="0" fontId="22" fillId="4" borderId="34" xfId="0" applyFont="1" applyFill="1" applyBorder="1"/>
    <xf numFmtId="0" fontId="0" fillId="4" borderId="35" xfId="0" applyFill="1" applyBorder="1"/>
    <xf numFmtId="2" fontId="22" fillId="4" borderId="36" xfId="0" applyNumberFormat="1" applyFont="1" applyFill="1" applyBorder="1"/>
    <xf numFmtId="0" fontId="22" fillId="4" borderId="35" xfId="0" applyFont="1" applyFill="1" applyBorder="1"/>
    <xf numFmtId="2" fontId="22" fillId="12" borderId="36" xfId="0" applyNumberFormat="1" applyFont="1" applyFill="1" applyBorder="1"/>
    <xf numFmtId="0" fontId="22" fillId="4" borderId="37" xfId="0" applyFont="1" applyFill="1" applyBorder="1"/>
    <xf numFmtId="0" fontId="22" fillId="4" borderId="37" xfId="0" applyFont="1" applyFill="1" applyBorder="1" applyAlignment="1">
      <alignment horizontal="center"/>
    </xf>
    <xf numFmtId="0" fontId="0" fillId="4" borderId="37" xfId="0" applyFill="1" applyBorder="1"/>
    <xf numFmtId="0" fontId="0" fillId="4" borderId="40" xfId="0" applyFill="1" applyBorder="1"/>
    <xf numFmtId="0" fontId="0" fillId="11" borderId="41" xfId="0" applyFill="1" applyBorder="1"/>
    <xf numFmtId="2" fontId="0" fillId="12" borderId="42" xfId="0" applyNumberFormat="1" applyFill="1" applyBorder="1"/>
    <xf numFmtId="0" fontId="0" fillId="4" borderId="33" xfId="0" applyFill="1" applyBorder="1"/>
    <xf numFmtId="0" fontId="0" fillId="9" borderId="32" xfId="0" applyFill="1" applyBorder="1" applyAlignment="1">
      <alignment horizontal="center"/>
    </xf>
    <xf numFmtId="0" fontId="0" fillId="9" borderId="28" xfId="0" applyFill="1" applyBorder="1" applyAlignment="1">
      <alignment horizontal="center"/>
    </xf>
    <xf numFmtId="0" fontId="0" fillId="4" borderId="29" xfId="0" applyFill="1" applyBorder="1"/>
    <xf numFmtId="0" fontId="0" fillId="9" borderId="25" xfId="0" applyFill="1" applyBorder="1"/>
    <xf numFmtId="0" fontId="0" fillId="9" borderId="26" xfId="0" applyFill="1" applyBorder="1"/>
    <xf numFmtId="0" fontId="0" fillId="9" borderId="23" xfId="0" applyFill="1" applyBorder="1"/>
    <xf numFmtId="0" fontId="0" fillId="9" borderId="28" xfId="0" applyFill="1" applyBorder="1"/>
    <xf numFmtId="0" fontId="0" fillId="4" borderId="28" xfId="0" applyFill="1" applyBorder="1" applyAlignment="1">
      <alignment horizontal="center"/>
    </xf>
    <xf numFmtId="0" fontId="0" fillId="9" borderId="47" xfId="0" applyFill="1" applyBorder="1"/>
    <xf numFmtId="0" fontId="0" fillId="9" borderId="47" xfId="0" applyFill="1" applyBorder="1" applyAlignment="1">
      <alignment horizontal="center"/>
    </xf>
    <xf numFmtId="0" fontId="0" fillId="9" borderId="48" xfId="0" applyFill="1" applyBorder="1"/>
    <xf numFmtId="0" fontId="0" fillId="9" borderId="43" xfId="0" applyFill="1" applyBorder="1"/>
    <xf numFmtId="0" fontId="0" fillId="4" borderId="32" xfId="0" applyFill="1" applyBorder="1" applyAlignment="1">
      <alignment horizontal="center"/>
    </xf>
    <xf numFmtId="0" fontId="0" fillId="9" borderId="41" xfId="0" applyFill="1" applyBorder="1"/>
    <xf numFmtId="0" fontId="0" fillId="9" borderId="41" xfId="0" applyFill="1" applyBorder="1" applyAlignment="1">
      <alignment horizontal="center"/>
    </xf>
    <xf numFmtId="0" fontId="0" fillId="9" borderId="42" xfId="0" applyFill="1" applyBorder="1"/>
    <xf numFmtId="0" fontId="0" fillId="9" borderId="39" xfId="0" applyFill="1" applyBorder="1"/>
    <xf numFmtId="0" fontId="0" fillId="9" borderId="25" xfId="0" applyFill="1" applyBorder="1" applyAlignment="1">
      <alignment horizontal="center"/>
    </xf>
    <xf numFmtId="0" fontId="0" fillId="9" borderId="29" xfId="0" applyFill="1" applyBorder="1"/>
    <xf numFmtId="0" fontId="0" fillId="9" borderId="11" xfId="0" applyFill="1" applyBorder="1"/>
    <xf numFmtId="0" fontId="0" fillId="11" borderId="50" xfId="0" applyFill="1" applyBorder="1"/>
    <xf numFmtId="2" fontId="0" fillId="12" borderId="51" xfId="0" applyNumberFormat="1" applyFill="1" applyBorder="1"/>
    <xf numFmtId="0" fontId="0" fillId="9" borderId="3" xfId="0" applyFill="1" applyBorder="1"/>
    <xf numFmtId="0" fontId="0" fillId="9" borderId="24" xfId="0" applyFill="1" applyBorder="1"/>
    <xf numFmtId="0" fontId="0" fillId="9" borderId="27" xfId="0" applyFill="1" applyBorder="1"/>
    <xf numFmtId="0" fontId="0" fillId="9" borderId="46" xfId="0" applyFill="1" applyBorder="1"/>
    <xf numFmtId="0" fontId="0" fillId="4" borderId="52" xfId="0" applyFill="1" applyBorder="1"/>
    <xf numFmtId="0" fontId="0" fillId="4" borderId="7" xfId="0" applyFill="1" applyBorder="1"/>
    <xf numFmtId="0" fontId="0" fillId="9" borderId="53" xfId="0" applyFill="1" applyBorder="1"/>
    <xf numFmtId="0" fontId="0" fillId="9" borderId="54" xfId="0" applyFill="1" applyBorder="1"/>
    <xf numFmtId="0" fontId="0" fillId="9" borderId="55" xfId="0" applyFill="1" applyBorder="1"/>
    <xf numFmtId="0" fontId="0" fillId="9" borderId="22" xfId="0" applyFill="1" applyBorder="1"/>
    <xf numFmtId="0" fontId="0" fillId="9" borderId="22" xfId="0" applyFill="1" applyBorder="1" applyAlignment="1">
      <alignment horizontal="left"/>
    </xf>
    <xf numFmtId="0" fontId="0" fillId="9" borderId="28" xfId="0" applyFill="1" applyBorder="1" applyAlignment="1">
      <alignment horizontal="left"/>
    </xf>
    <xf numFmtId="0" fontId="0" fillId="4" borderId="40" xfId="0" applyFill="1" applyBorder="1" applyAlignment="1">
      <alignment horizontal="left"/>
    </xf>
    <xf numFmtId="0" fontId="0" fillId="4" borderId="31" xfId="0" applyFill="1" applyBorder="1" applyAlignment="1">
      <alignment horizontal="left"/>
    </xf>
    <xf numFmtId="0" fontId="0" fillId="11" borderId="32" xfId="0" applyFill="1" applyBorder="1" applyAlignment="1">
      <alignment horizontal="left"/>
    </xf>
    <xf numFmtId="0" fontId="0" fillId="4" borderId="44" xfId="0" applyFill="1" applyBorder="1" applyAlignment="1">
      <alignment horizontal="left"/>
    </xf>
    <xf numFmtId="0" fontId="0" fillId="11" borderId="45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34" fillId="8" borderId="0" xfId="0" applyFont="1" applyFill="1"/>
    <xf numFmtId="0" fontId="34" fillId="8" borderId="3" xfId="0" applyFont="1" applyFill="1" applyBorder="1"/>
    <xf numFmtId="0" fontId="34" fillId="8" borderId="3" xfId="0" applyFont="1" applyFill="1" applyBorder="1" applyAlignment="1">
      <alignment horizontal="center"/>
    </xf>
    <xf numFmtId="2" fontId="34" fillId="8" borderId="5" xfId="0" applyNumberFormat="1" applyFont="1" applyFill="1" applyBorder="1"/>
    <xf numFmtId="2" fontId="34" fillId="8" borderId="0" xfId="0" applyNumberFormat="1" applyFont="1" applyFill="1"/>
    <xf numFmtId="2" fontId="0" fillId="10" borderId="39" xfId="0" applyNumberFormat="1" applyFill="1" applyBorder="1"/>
    <xf numFmtId="2" fontId="0" fillId="10" borderId="30" xfId="0" applyNumberFormat="1" applyFill="1" applyBorder="1"/>
    <xf numFmtId="2" fontId="22" fillId="10" borderId="36" xfId="0" applyNumberFormat="1" applyFont="1" applyFill="1" applyBorder="1"/>
    <xf numFmtId="2" fontId="34" fillId="10" borderId="0" xfId="0" applyNumberFormat="1" applyFont="1" applyFill="1"/>
    <xf numFmtId="0" fontId="0" fillId="10" borderId="30" xfId="0" applyFill="1" applyBorder="1"/>
    <xf numFmtId="0" fontId="0" fillId="10" borderId="11" xfId="0" applyFill="1" applyBorder="1"/>
    <xf numFmtId="0" fontId="0" fillId="10" borderId="23" xfId="0" applyFill="1" applyBorder="1"/>
    <xf numFmtId="0" fontId="0" fillId="10" borderId="43" xfId="0" applyFill="1" applyBorder="1"/>
    <xf numFmtId="0" fontId="0" fillId="10" borderId="39" xfId="0" applyFill="1" applyBorder="1"/>
    <xf numFmtId="2" fontId="34" fillId="9" borderId="0" xfId="0" applyNumberFormat="1" applyFont="1" applyFill="1"/>
    <xf numFmtId="0" fontId="12" fillId="10" borderId="0" xfId="5" applyFont="1" applyFill="1"/>
    <xf numFmtId="0" fontId="12" fillId="10" borderId="0" xfId="5" applyFont="1" applyFill="1" applyAlignment="1">
      <alignment horizontal="center"/>
    </xf>
    <xf numFmtId="0" fontId="10" fillId="10" borderId="0" xfId="5" applyFont="1" applyFill="1" applyAlignment="1">
      <alignment vertical="center"/>
    </xf>
    <xf numFmtId="0" fontId="12" fillId="10" borderId="0" xfId="0" applyFont="1" applyFill="1" applyAlignment="1">
      <alignment vertical="center"/>
    </xf>
    <xf numFmtId="0" fontId="3" fillId="10" borderId="0" xfId="5" applyFont="1" applyFill="1" applyAlignment="1">
      <alignment vertical="center"/>
    </xf>
    <xf numFmtId="0" fontId="16" fillId="10" borderId="0" xfId="5" applyFont="1" applyFill="1" applyAlignment="1">
      <alignment vertical="center"/>
    </xf>
    <xf numFmtId="0" fontId="12" fillId="9" borderId="0" xfId="5" applyFont="1" applyFill="1" applyAlignment="1">
      <alignment vertical="center"/>
    </xf>
    <xf numFmtId="1" fontId="12" fillId="9" borderId="56" xfId="5" applyNumberFormat="1" applyFont="1" applyFill="1" applyBorder="1" applyAlignment="1">
      <alignment horizontal="center" vertical="center"/>
    </xf>
    <xf numFmtId="2" fontId="12" fillId="9" borderId="56" xfId="5" applyNumberFormat="1" applyFont="1" applyFill="1" applyBorder="1" applyAlignment="1">
      <alignment horizontal="center" vertical="center"/>
    </xf>
    <xf numFmtId="1" fontId="12" fillId="9" borderId="57" xfId="5" applyNumberFormat="1" applyFont="1" applyFill="1" applyBorder="1" applyAlignment="1">
      <alignment horizontal="center" vertical="center"/>
    </xf>
    <xf numFmtId="1" fontId="12" fillId="9" borderId="58" xfId="5" applyNumberFormat="1" applyFont="1" applyFill="1" applyBorder="1" applyAlignment="1">
      <alignment horizontal="center" vertical="center"/>
    </xf>
    <xf numFmtId="2" fontId="12" fillId="9" borderId="58" xfId="5" applyNumberFormat="1" applyFont="1" applyFill="1" applyBorder="1" applyAlignment="1">
      <alignment horizontal="center" vertical="center"/>
    </xf>
    <xf numFmtId="169" fontId="12" fillId="9" borderId="56" xfId="5" applyNumberFormat="1" applyFont="1" applyFill="1" applyBorder="1" applyAlignment="1">
      <alignment horizontal="center" vertical="center"/>
    </xf>
    <xf numFmtId="169" fontId="12" fillId="9" borderId="58" xfId="5" applyNumberFormat="1" applyFont="1" applyFill="1" applyBorder="1" applyAlignment="1">
      <alignment horizontal="center" vertical="center"/>
    </xf>
    <xf numFmtId="169" fontId="18" fillId="9" borderId="57" xfId="5" applyNumberFormat="1" applyFont="1" applyFill="1" applyBorder="1" applyAlignment="1" applyProtection="1">
      <alignment horizontal="center" vertical="center"/>
      <protection locked="0"/>
    </xf>
    <xf numFmtId="169" fontId="12" fillId="9" borderId="57" xfId="5" applyNumberFormat="1" applyFont="1" applyFill="1" applyBorder="1" applyAlignment="1">
      <alignment horizontal="center" vertical="center"/>
    </xf>
    <xf numFmtId="169" fontId="17" fillId="9" borderId="57" xfId="5" applyNumberFormat="1" applyFont="1" applyFill="1" applyBorder="1" applyAlignment="1" applyProtection="1">
      <alignment horizontal="center" vertical="center"/>
      <protection locked="0"/>
    </xf>
    <xf numFmtId="0" fontId="13" fillId="10" borderId="0" xfId="5" applyFont="1" applyFill="1" applyAlignment="1">
      <alignment vertical="center"/>
    </xf>
    <xf numFmtId="0" fontId="13" fillId="10" borderId="0" xfId="5" applyFont="1" applyFill="1" applyAlignment="1">
      <alignment horizontal="center" vertical="center"/>
    </xf>
    <xf numFmtId="1" fontId="13" fillId="10" borderId="1" xfId="5" applyNumberFormat="1" applyFont="1" applyFill="1" applyBorder="1" applyAlignment="1">
      <alignment horizontal="center" vertical="center"/>
    </xf>
    <xf numFmtId="2" fontId="13" fillId="10" borderId="1" xfId="5" applyNumberFormat="1" applyFont="1" applyFill="1" applyBorder="1" applyAlignment="1">
      <alignment horizontal="center" vertical="center"/>
    </xf>
    <xf numFmtId="38" fontId="12" fillId="12" borderId="1" xfId="5" applyNumberFormat="1" applyFont="1" applyFill="1" applyBorder="1" applyAlignment="1">
      <alignment horizontal="center" vertical="center"/>
    </xf>
    <xf numFmtId="10" fontId="12" fillId="12" borderId="1" xfId="5" applyNumberFormat="1" applyFont="1" applyFill="1" applyBorder="1" applyAlignment="1">
      <alignment horizontal="center" vertical="center"/>
    </xf>
    <xf numFmtId="0" fontId="12" fillId="10" borderId="56" xfId="5" applyFont="1" applyFill="1" applyBorder="1" applyAlignment="1">
      <alignment vertical="center"/>
    </xf>
    <xf numFmtId="0" fontId="12" fillId="10" borderId="58" xfId="5" applyFont="1" applyFill="1" applyBorder="1" applyAlignment="1">
      <alignment vertical="center"/>
    </xf>
    <xf numFmtId="3" fontId="12" fillId="9" borderId="58" xfId="5" applyNumberFormat="1" applyFont="1" applyFill="1" applyBorder="1" applyAlignment="1">
      <alignment horizontal="center" vertical="center"/>
    </xf>
    <xf numFmtId="0" fontId="12" fillId="10" borderId="60" xfId="5" applyFont="1" applyFill="1" applyBorder="1" applyAlignment="1">
      <alignment vertical="center"/>
    </xf>
    <xf numFmtId="0" fontId="12" fillId="10" borderId="60" xfId="5" applyFont="1" applyFill="1" applyBorder="1" applyAlignment="1">
      <alignment horizontal="center" vertical="center"/>
    </xf>
    <xf numFmtId="169" fontId="12" fillId="10" borderId="56" xfId="5" applyNumberFormat="1" applyFont="1" applyFill="1" applyBorder="1" applyAlignment="1">
      <alignment horizontal="center" vertical="center"/>
    </xf>
    <xf numFmtId="2" fontId="12" fillId="10" borderId="56" xfId="5" applyNumberFormat="1" applyFont="1" applyFill="1" applyBorder="1" applyAlignment="1">
      <alignment horizontal="center" vertical="center"/>
    </xf>
    <xf numFmtId="0" fontId="12" fillId="10" borderId="64" xfId="5" applyFont="1" applyFill="1" applyBorder="1" applyAlignment="1">
      <alignment vertical="center"/>
    </xf>
    <xf numFmtId="0" fontId="12" fillId="10" borderId="64" xfId="5" applyFont="1" applyFill="1" applyBorder="1" applyAlignment="1">
      <alignment horizontal="center" vertical="center"/>
    </xf>
    <xf numFmtId="169" fontId="12" fillId="10" borderId="58" xfId="5" applyNumberFormat="1" applyFont="1" applyFill="1" applyBorder="1" applyAlignment="1">
      <alignment horizontal="center" vertical="center"/>
    </xf>
    <xf numFmtId="2" fontId="12" fillId="10" borderId="58" xfId="5" applyNumberFormat="1" applyFont="1" applyFill="1" applyBorder="1" applyAlignment="1">
      <alignment horizontal="center" vertical="center"/>
    </xf>
    <xf numFmtId="0" fontId="12" fillId="10" borderId="62" xfId="5" applyFont="1" applyFill="1" applyBorder="1" applyAlignment="1">
      <alignment vertical="center"/>
    </xf>
    <xf numFmtId="0" fontId="12" fillId="10" borderId="62" xfId="5" applyFont="1" applyFill="1" applyBorder="1" applyAlignment="1">
      <alignment horizontal="center" vertical="center"/>
    </xf>
    <xf numFmtId="1" fontId="12" fillId="10" borderId="57" xfId="5" applyNumberFormat="1" applyFont="1" applyFill="1" applyBorder="1" applyAlignment="1">
      <alignment horizontal="center" vertical="center"/>
    </xf>
    <xf numFmtId="2" fontId="12" fillId="10" borderId="57" xfId="5" applyNumberFormat="1" applyFont="1" applyFill="1" applyBorder="1" applyAlignment="1">
      <alignment horizontal="center" vertical="center"/>
    </xf>
    <xf numFmtId="1" fontId="12" fillId="10" borderId="58" xfId="5" applyNumberFormat="1" applyFont="1" applyFill="1" applyBorder="1" applyAlignment="1">
      <alignment horizontal="center" vertical="center"/>
    </xf>
    <xf numFmtId="169" fontId="17" fillId="10" borderId="57" xfId="5" applyNumberFormat="1" applyFont="1" applyFill="1" applyBorder="1" applyAlignment="1" applyProtection="1">
      <alignment horizontal="center" vertical="center"/>
      <protection locked="0"/>
    </xf>
    <xf numFmtId="169" fontId="12" fillId="10" borderId="57" xfId="5" applyNumberFormat="1" applyFont="1" applyFill="1" applyBorder="1" applyAlignment="1">
      <alignment horizontal="center" vertical="center"/>
    </xf>
    <xf numFmtId="0" fontId="12" fillId="10" borderId="60" xfId="3" applyFont="1" applyFill="1" applyBorder="1" applyAlignment="1">
      <alignment vertical="center"/>
    </xf>
    <xf numFmtId="0" fontId="12" fillId="10" borderId="60" xfId="3" applyFont="1" applyFill="1" applyBorder="1" applyAlignment="1">
      <alignment horizontal="center" vertical="center"/>
    </xf>
    <xf numFmtId="172" fontId="19" fillId="10" borderId="62" xfId="5" applyNumberFormat="1" applyFont="1" applyFill="1" applyBorder="1" applyAlignment="1">
      <alignment horizontal="left" vertical="center"/>
    </xf>
    <xf numFmtId="170" fontId="19" fillId="10" borderId="62" xfId="5" applyNumberFormat="1" applyFont="1" applyFill="1" applyBorder="1" applyAlignment="1">
      <alignment horizontal="center" vertical="center"/>
    </xf>
    <xf numFmtId="0" fontId="12" fillId="10" borderId="57" xfId="5" applyFont="1" applyFill="1" applyBorder="1" applyAlignment="1">
      <alignment vertical="center"/>
    </xf>
    <xf numFmtId="170" fontId="12" fillId="10" borderId="64" xfId="5" applyNumberFormat="1" applyFont="1" applyFill="1" applyBorder="1" applyAlignment="1">
      <alignment horizontal="left" vertical="center"/>
    </xf>
    <xf numFmtId="170" fontId="12" fillId="10" borderId="64" xfId="5" applyNumberFormat="1" applyFont="1" applyFill="1" applyBorder="1" applyAlignment="1">
      <alignment horizontal="center" vertical="center"/>
    </xf>
    <xf numFmtId="10" fontId="12" fillId="10" borderId="58" xfId="5" applyNumberFormat="1" applyFont="1" applyFill="1" applyBorder="1" applyAlignment="1">
      <alignment horizontal="center" vertical="center"/>
    </xf>
    <xf numFmtId="38" fontId="12" fillId="10" borderId="58" xfId="5" applyNumberFormat="1" applyFont="1" applyFill="1" applyBorder="1" applyAlignment="1">
      <alignment horizontal="center" vertical="center"/>
    </xf>
    <xf numFmtId="0" fontId="3" fillId="10" borderId="60" xfId="3" applyFont="1" applyFill="1" applyBorder="1"/>
    <xf numFmtId="0" fontId="3" fillId="10" borderId="60" xfId="3" applyFont="1" applyFill="1" applyBorder="1" applyAlignment="1">
      <alignment horizontal="center"/>
    </xf>
    <xf numFmtId="0" fontId="12" fillId="10" borderId="64" xfId="3" applyFont="1" applyFill="1" applyBorder="1" applyAlignment="1">
      <alignment vertical="center"/>
    </xf>
    <xf numFmtId="0" fontId="12" fillId="10" borderId="64" xfId="3" applyFont="1" applyFill="1" applyBorder="1" applyAlignment="1">
      <alignment horizontal="center" vertical="center"/>
    </xf>
    <xf numFmtId="0" fontId="12" fillId="10" borderId="56" xfId="5" applyFont="1" applyFill="1" applyBorder="1" applyAlignment="1">
      <alignment horizontal="center" vertical="center"/>
    </xf>
    <xf numFmtId="0" fontId="12" fillId="10" borderId="57" xfId="5" applyFont="1" applyFill="1" applyBorder="1" applyAlignment="1">
      <alignment horizontal="center" vertical="center"/>
    </xf>
    <xf numFmtId="0" fontId="12" fillId="10" borderId="58" xfId="5" applyFont="1" applyFill="1" applyBorder="1" applyAlignment="1">
      <alignment horizontal="center" vertical="center"/>
    </xf>
    <xf numFmtId="2" fontId="12" fillId="12" borderId="56" xfId="5" applyNumberFormat="1" applyFont="1" applyFill="1" applyBorder="1" applyAlignment="1">
      <alignment horizontal="center" vertical="center"/>
    </xf>
    <xf numFmtId="2" fontId="12" fillId="12" borderId="58" xfId="5" applyNumberFormat="1" applyFont="1" applyFill="1" applyBorder="1" applyAlignment="1">
      <alignment horizontal="center" vertical="center"/>
    </xf>
    <xf numFmtId="3" fontId="12" fillId="9" borderId="1" xfId="3" applyNumberFormat="1" applyFont="1" applyFill="1" applyBorder="1" applyAlignment="1">
      <alignment horizontal="center" vertical="center"/>
    </xf>
    <xf numFmtId="0" fontId="14" fillId="10" borderId="0" xfId="5" applyFont="1" applyFill="1" applyAlignment="1">
      <alignment vertical="center"/>
    </xf>
    <xf numFmtId="0" fontId="14" fillId="10" borderId="0" xfId="0" applyFont="1" applyFill="1" applyAlignment="1">
      <alignment vertical="center"/>
    </xf>
    <xf numFmtId="0" fontId="12" fillId="12" borderId="0" xfId="5" applyFont="1" applyFill="1" applyAlignment="1">
      <alignment vertical="center"/>
    </xf>
    <xf numFmtId="0" fontId="12" fillId="13" borderId="60" xfId="5" applyFont="1" applyFill="1" applyBorder="1" applyAlignment="1">
      <alignment vertical="center"/>
    </xf>
    <xf numFmtId="0" fontId="12" fillId="13" borderId="61" xfId="5" applyFont="1" applyFill="1" applyBorder="1" applyAlignment="1">
      <alignment horizontal="center" vertical="center"/>
    </xf>
    <xf numFmtId="1" fontId="12" fillId="13" borderId="56" xfId="5" applyNumberFormat="1" applyFont="1" applyFill="1" applyBorder="1" applyAlignment="1">
      <alignment horizontal="center" vertical="center"/>
    </xf>
    <xf numFmtId="2" fontId="12" fillId="13" borderId="56" xfId="5" applyNumberFormat="1" applyFont="1" applyFill="1" applyBorder="1" applyAlignment="1">
      <alignment horizontal="center" vertical="center"/>
    </xf>
    <xf numFmtId="0" fontId="12" fillId="13" borderId="62" xfId="5" applyFont="1" applyFill="1" applyBorder="1" applyAlignment="1">
      <alignment vertical="center"/>
    </xf>
    <xf numFmtId="0" fontId="12" fillId="13" borderId="63" xfId="5" applyFont="1" applyFill="1" applyBorder="1" applyAlignment="1">
      <alignment horizontal="center" vertical="center"/>
    </xf>
    <xf numFmtId="1" fontId="12" fillId="13" borderId="57" xfId="5" applyNumberFormat="1" applyFont="1" applyFill="1" applyBorder="1" applyAlignment="1">
      <alignment horizontal="center" vertical="center"/>
    </xf>
    <xf numFmtId="2" fontId="12" fillId="13" borderId="57" xfId="5" applyNumberFormat="1" applyFont="1" applyFill="1" applyBorder="1" applyAlignment="1">
      <alignment horizontal="center" vertical="center"/>
    </xf>
    <xf numFmtId="0" fontId="8" fillId="13" borderId="64" xfId="5" applyFont="1" applyFill="1" applyBorder="1" applyAlignment="1">
      <alignment vertical="center"/>
    </xf>
    <xf numFmtId="0" fontId="8" fillId="13" borderId="65" xfId="5" applyFont="1" applyFill="1" applyBorder="1" applyAlignment="1">
      <alignment horizontal="center" vertical="center"/>
    </xf>
    <xf numFmtId="1" fontId="8" fillId="13" borderId="58" xfId="5" applyNumberFormat="1" applyFont="1" applyFill="1" applyBorder="1" applyAlignment="1">
      <alignment horizontal="left" vertical="center"/>
    </xf>
    <xf numFmtId="2" fontId="12" fillId="13" borderId="58" xfId="5" applyNumberFormat="1" applyFont="1" applyFill="1" applyBorder="1" applyAlignment="1">
      <alignment horizontal="center" vertical="center"/>
    </xf>
    <xf numFmtId="38" fontId="12" fillId="13" borderId="58" xfId="5" applyNumberFormat="1" applyFont="1" applyFill="1" applyBorder="1" applyAlignment="1">
      <alignment horizontal="center" vertical="center"/>
    </xf>
    <xf numFmtId="0" fontId="12" fillId="13" borderId="1" xfId="5" applyFont="1" applyFill="1" applyBorder="1" applyAlignment="1">
      <alignment horizontal="center" vertical="center"/>
    </xf>
    <xf numFmtId="0" fontId="10" fillId="14" borderId="0" xfId="5" applyFont="1" applyFill="1" applyAlignment="1">
      <alignment vertical="center"/>
    </xf>
    <xf numFmtId="0" fontId="13" fillId="14" borderId="2" xfId="5" applyFont="1" applyFill="1" applyBorder="1" applyAlignment="1">
      <alignment horizontal="center" vertical="center"/>
    </xf>
    <xf numFmtId="3" fontId="13" fillId="14" borderId="1" xfId="5" applyNumberFormat="1" applyFont="1" applyFill="1" applyBorder="1" applyAlignment="1">
      <alignment horizontal="center" vertical="center"/>
    </xf>
    <xf numFmtId="0" fontId="13" fillId="14" borderId="0" xfId="5" applyFont="1" applyFill="1" applyAlignment="1">
      <alignment vertical="center"/>
    </xf>
    <xf numFmtId="0" fontId="13" fillId="14" borderId="0" xfId="5" applyFont="1" applyFill="1" applyAlignment="1">
      <alignment horizontal="center" vertical="center"/>
    </xf>
    <xf numFmtId="1" fontId="13" fillId="14" borderId="1" xfId="5" applyNumberFormat="1" applyFont="1" applyFill="1" applyBorder="1" applyAlignment="1">
      <alignment horizontal="center" vertical="center"/>
    </xf>
    <xf numFmtId="2" fontId="13" fillId="14" borderId="1" xfId="5" applyNumberFormat="1" applyFont="1" applyFill="1" applyBorder="1" applyAlignment="1">
      <alignment horizontal="center" vertical="center"/>
    </xf>
    <xf numFmtId="3" fontId="13" fillId="14" borderId="59" xfId="5" applyNumberFormat="1" applyFont="1" applyFill="1" applyBorder="1" applyAlignment="1">
      <alignment horizontal="center" vertical="center"/>
    </xf>
    <xf numFmtId="167" fontId="12" fillId="13" borderId="1" xfId="5" applyNumberFormat="1" applyFont="1" applyFill="1" applyBorder="1" applyAlignment="1">
      <alignment horizontal="center" vertical="center"/>
    </xf>
    <xf numFmtId="1" fontId="12" fillId="13" borderId="58" xfId="5" applyNumberFormat="1" applyFont="1" applyFill="1" applyBorder="1" applyAlignment="1">
      <alignment horizontal="center" vertical="center"/>
    </xf>
    <xf numFmtId="1" fontId="11" fillId="13" borderId="1" xfId="5" applyNumberFormat="1" applyFont="1" applyFill="1" applyBorder="1" applyAlignment="1">
      <alignment horizontal="center" vertical="center"/>
    </xf>
    <xf numFmtId="1" fontId="12" fillId="13" borderId="1" xfId="5" applyNumberFormat="1" applyFont="1" applyFill="1" applyBorder="1" applyAlignment="1">
      <alignment horizontal="center" vertical="center"/>
    </xf>
    <xf numFmtId="1" fontId="18" fillId="13" borderId="57" xfId="5" applyNumberFormat="1" applyFont="1" applyFill="1" applyBorder="1" applyAlignment="1" applyProtection="1">
      <alignment horizontal="center" vertical="center"/>
      <protection locked="0"/>
    </xf>
    <xf numFmtId="1" fontId="18" fillId="13" borderId="58" xfId="5" applyNumberFormat="1" applyFont="1" applyFill="1" applyBorder="1" applyAlignment="1" applyProtection="1">
      <alignment horizontal="center" vertical="center"/>
      <protection locked="0"/>
    </xf>
    <xf numFmtId="165" fontId="12" fillId="13" borderId="1" xfId="5" applyNumberFormat="1" applyFont="1" applyFill="1" applyBorder="1" applyAlignment="1">
      <alignment horizontal="center" vertical="center"/>
    </xf>
    <xf numFmtId="1" fontId="7" fillId="13" borderId="1" xfId="5" applyNumberFormat="1" applyFont="1" applyFill="1" applyBorder="1" applyAlignment="1">
      <alignment horizontal="center" vertical="center"/>
    </xf>
    <xf numFmtId="167" fontId="12" fillId="13" borderId="56" xfId="5" applyNumberFormat="1" applyFont="1" applyFill="1" applyBorder="1" applyAlignment="1">
      <alignment horizontal="center" vertical="center"/>
    </xf>
    <xf numFmtId="167" fontId="12" fillId="13" borderId="58" xfId="5" applyNumberFormat="1" applyFont="1" applyFill="1" applyBorder="1" applyAlignment="1">
      <alignment horizontal="center" vertical="center"/>
    </xf>
    <xf numFmtId="0" fontId="12" fillId="13" borderId="0" xfId="5" applyFont="1" applyFill="1" applyAlignment="1">
      <alignment vertical="center"/>
    </xf>
    <xf numFmtId="0" fontId="12" fillId="13" borderId="0" xfId="5" applyFont="1" applyFill="1" applyAlignment="1">
      <alignment horizontal="center" vertical="center"/>
    </xf>
    <xf numFmtId="2" fontId="12" fillId="13" borderId="1" xfId="5" applyNumberFormat="1" applyFont="1" applyFill="1" applyBorder="1" applyAlignment="1">
      <alignment horizontal="center" vertical="center"/>
    </xf>
    <xf numFmtId="0" fontId="12" fillId="13" borderId="0" xfId="0" applyFont="1" applyFill="1" applyAlignment="1">
      <alignment vertical="center"/>
    </xf>
    <xf numFmtId="0" fontId="12" fillId="13" borderId="0" xfId="0" applyFont="1" applyFill="1" applyAlignment="1">
      <alignment horizontal="left" vertical="center"/>
    </xf>
    <xf numFmtId="1" fontId="12" fillId="13" borderId="1" xfId="0" applyNumberFormat="1" applyFont="1" applyFill="1" applyBorder="1" applyAlignment="1">
      <alignment horizontal="center" vertical="center"/>
    </xf>
    <xf numFmtId="2" fontId="12" fillId="13" borderId="1" xfId="0" applyNumberFormat="1" applyFont="1" applyFill="1" applyBorder="1" applyAlignment="1">
      <alignment horizontal="center" vertical="center"/>
    </xf>
    <xf numFmtId="38" fontId="12" fillId="13" borderId="1" xfId="3" applyNumberFormat="1" applyFont="1" applyFill="1" applyBorder="1" applyAlignment="1">
      <alignment horizontal="center" vertical="center"/>
    </xf>
    <xf numFmtId="3" fontId="12" fillId="13" borderId="1" xfId="5" applyNumberFormat="1" applyFont="1" applyFill="1" applyBorder="1" applyAlignment="1">
      <alignment horizontal="center" vertical="center"/>
    </xf>
    <xf numFmtId="3" fontId="12" fillId="13" borderId="58" xfId="5" applyNumberFormat="1" applyFont="1" applyFill="1" applyBorder="1" applyAlignment="1">
      <alignment horizontal="center" vertical="center"/>
    </xf>
    <xf numFmtId="0" fontId="12" fillId="13" borderId="56" xfId="5" applyFont="1" applyFill="1" applyBorder="1" applyAlignment="1">
      <alignment horizontal="center" vertical="center"/>
    </xf>
    <xf numFmtId="0" fontId="12" fillId="13" borderId="57" xfId="5" applyFont="1" applyFill="1" applyBorder="1" applyAlignment="1">
      <alignment horizontal="center" vertical="center"/>
    </xf>
    <xf numFmtId="166" fontId="12" fillId="14" borderId="0" xfId="5" applyNumberFormat="1" applyFont="1" applyFill="1" applyAlignment="1">
      <alignment vertical="center"/>
    </xf>
    <xf numFmtId="166" fontId="12" fillId="14" borderId="0" xfId="5" applyNumberFormat="1" applyFont="1" applyFill="1" applyAlignment="1">
      <alignment horizontal="center" vertical="center"/>
    </xf>
    <xf numFmtId="3" fontId="12" fillId="14" borderId="1" xfId="3" applyNumberFormat="1" applyFont="1" applyFill="1" applyBorder="1" applyAlignment="1">
      <alignment horizontal="center" vertical="center"/>
    </xf>
    <xf numFmtId="171" fontId="12" fillId="14" borderId="1" xfId="3" applyNumberFormat="1" applyFont="1" applyFill="1" applyBorder="1" applyAlignment="1">
      <alignment horizontal="center" vertical="center"/>
    </xf>
    <xf numFmtId="0" fontId="12" fillId="11" borderId="0" xfId="5" applyFont="1" applyFill="1" applyAlignment="1">
      <alignment vertical="center"/>
    </xf>
    <xf numFmtId="0" fontId="0" fillId="4" borderId="49" xfId="0" applyFill="1" applyBorder="1"/>
    <xf numFmtId="0" fontId="23" fillId="10" borderId="4" xfId="0" applyFont="1" applyFill="1" applyBorder="1" applyAlignment="1">
      <alignment horizontal="center" vertical="center" wrapText="1"/>
    </xf>
    <xf numFmtId="2" fontId="0" fillId="10" borderId="8" xfId="0" applyNumberFormat="1" applyFill="1" applyBorder="1"/>
    <xf numFmtId="2" fontId="0" fillId="10" borderId="11" xfId="0" applyNumberFormat="1" applyFill="1" applyBorder="1"/>
    <xf numFmtId="2" fontId="0" fillId="10" borderId="23" xfId="0" applyNumberFormat="1" applyFill="1" applyBorder="1"/>
    <xf numFmtId="2" fontId="0" fillId="10" borderId="38" xfId="0" applyNumberFormat="1" applyFill="1" applyBorder="1"/>
    <xf numFmtId="2" fontId="0" fillId="4" borderId="39" xfId="0" applyNumberFormat="1" applyFill="1" applyBorder="1"/>
    <xf numFmtId="2" fontId="0" fillId="4" borderId="8" xfId="0" applyNumberFormat="1" applyFill="1" applyBorder="1"/>
    <xf numFmtId="0" fontId="0" fillId="0" borderId="5" xfId="0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0" fillId="9" borderId="48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9" borderId="42" xfId="0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0" fontId="0" fillId="9" borderId="29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22" fillId="4" borderId="5" xfId="0" applyFont="1" applyFill="1" applyBorder="1" applyAlignment="1">
      <alignment horizontal="center"/>
    </xf>
    <xf numFmtId="173" fontId="0" fillId="4" borderId="42" xfId="0" applyNumberFormat="1" applyFill="1" applyBorder="1" applyAlignment="1">
      <alignment horizontal="center"/>
    </xf>
    <xf numFmtId="173" fontId="0" fillId="4" borderId="33" xfId="0" applyNumberFormat="1" applyFill="1" applyBorder="1" applyAlignment="1">
      <alignment horizontal="center"/>
    </xf>
    <xf numFmtId="173" fontId="0" fillId="4" borderId="34" xfId="0" applyNumberFormat="1" applyFill="1" applyBorder="1" applyAlignment="1">
      <alignment horizontal="center"/>
    </xf>
    <xf numFmtId="173" fontId="34" fillId="4" borderId="0" xfId="0" applyNumberFormat="1" applyFont="1" applyFill="1" applyAlignment="1">
      <alignment horizontal="center"/>
    </xf>
    <xf numFmtId="0" fontId="0" fillId="4" borderId="66" xfId="0" applyFill="1" applyBorder="1"/>
    <xf numFmtId="173" fontId="0" fillId="4" borderId="67" xfId="0" applyNumberFormat="1" applyFill="1" applyBorder="1" applyAlignment="1">
      <alignment horizontal="center"/>
    </xf>
    <xf numFmtId="173" fontId="34" fillId="8" borderId="0" xfId="0" applyNumberFormat="1" applyFont="1" applyFill="1" applyAlignment="1">
      <alignment horizontal="center"/>
    </xf>
    <xf numFmtId="0" fontId="22" fillId="8" borderId="68" xfId="0" applyFont="1" applyFill="1" applyBorder="1"/>
    <xf numFmtId="0" fontId="22" fillId="8" borderId="69" xfId="0" applyFont="1" applyFill="1" applyBorder="1"/>
    <xf numFmtId="0" fontId="22" fillId="8" borderId="70" xfId="0" applyFont="1" applyFill="1" applyBorder="1"/>
    <xf numFmtId="173" fontId="0" fillId="8" borderId="68" xfId="0" applyNumberFormat="1" applyFill="1" applyBorder="1" applyAlignment="1">
      <alignment horizontal="center"/>
    </xf>
    <xf numFmtId="2" fontId="22" fillId="8" borderId="71" xfId="0" applyNumberFormat="1" applyFont="1" applyFill="1" applyBorder="1"/>
    <xf numFmtId="175" fontId="0" fillId="8" borderId="42" xfId="0" applyNumberFormat="1" applyFill="1" applyBorder="1" applyAlignment="1">
      <alignment horizontal="center"/>
    </xf>
    <xf numFmtId="175" fontId="0" fillId="9" borderId="33" xfId="0" applyNumberFormat="1" applyFill="1" applyBorder="1" applyAlignment="1">
      <alignment horizontal="center"/>
    </xf>
    <xf numFmtId="175" fontId="0" fillId="9" borderId="29" xfId="0" applyNumberFormat="1" applyFill="1" applyBorder="1" applyAlignment="1">
      <alignment horizontal="center"/>
    </xf>
    <xf numFmtId="174" fontId="0" fillId="4" borderId="42" xfId="0" applyNumberFormat="1" applyFill="1" applyBorder="1" applyAlignment="1">
      <alignment horizontal="center"/>
    </xf>
    <xf numFmtId="174" fontId="0" fillId="12" borderId="51" xfId="0" applyNumberFormat="1" applyFill="1" applyBorder="1" applyAlignment="1">
      <alignment horizontal="center"/>
    </xf>
    <xf numFmtId="174" fontId="0" fillId="12" borderId="33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12" fillId="10" borderId="60" xfId="5" applyFont="1" applyFill="1" applyBorder="1" applyAlignment="1">
      <alignment horizontal="left" vertical="center" indent="1"/>
    </xf>
    <xf numFmtId="0" fontId="12" fillId="10" borderId="0" xfId="5" applyFont="1" applyFill="1" applyAlignment="1">
      <alignment horizontal="left" vertical="center"/>
    </xf>
    <xf numFmtId="0" fontId="13" fillId="14" borderId="0" xfId="5" applyFont="1" applyFill="1" applyAlignment="1">
      <alignment horizontal="left" vertical="center"/>
    </xf>
    <xf numFmtId="0" fontId="11" fillId="10" borderId="0" xfId="5" applyFont="1" applyFill="1" applyAlignment="1">
      <alignment vertical="center"/>
    </xf>
    <xf numFmtId="0" fontId="12" fillId="4" borderId="0" xfId="5" applyFont="1" applyFill="1" applyAlignment="1">
      <alignment vertical="center"/>
    </xf>
    <xf numFmtId="0" fontId="12" fillId="14" borderId="0" xfId="5" applyFont="1" applyFill="1" applyAlignment="1">
      <alignment vertical="center"/>
    </xf>
    <xf numFmtId="0" fontId="11" fillId="13" borderId="0" xfId="0" applyFont="1" applyFill="1" applyAlignment="1">
      <alignment horizontal="left" vertical="center" indent="1"/>
    </xf>
    <xf numFmtId="0" fontId="15" fillId="10" borderId="64" xfId="5" applyFont="1" applyFill="1" applyBorder="1" applyAlignment="1">
      <alignment horizontal="left" vertical="center" indent="2"/>
    </xf>
    <xf numFmtId="0" fontId="11" fillId="13" borderId="0" xfId="5" applyFont="1" applyFill="1" applyAlignment="1">
      <alignment horizontal="left" vertical="center" indent="1"/>
    </xf>
    <xf numFmtId="0" fontId="12" fillId="10" borderId="64" xfId="5" applyFont="1" applyFill="1" applyBorder="1" applyAlignment="1">
      <alignment horizontal="left" vertical="center" indent="2"/>
    </xf>
    <xf numFmtId="0" fontId="12" fillId="10" borderId="62" xfId="5" applyFont="1" applyFill="1" applyBorder="1" applyAlignment="1">
      <alignment horizontal="left" vertical="center" indent="2"/>
    </xf>
    <xf numFmtId="0" fontId="12" fillId="12" borderId="62" xfId="5" applyFont="1" applyFill="1" applyBorder="1" applyAlignment="1">
      <alignment horizontal="center" vertical="center"/>
    </xf>
    <xf numFmtId="0" fontId="12" fillId="12" borderId="64" xfId="5" applyFont="1" applyFill="1" applyBorder="1" applyAlignment="1">
      <alignment horizontal="center" vertical="center"/>
    </xf>
    <xf numFmtId="167" fontId="12" fillId="9" borderId="62" xfId="5" applyNumberFormat="1" applyFont="1" applyFill="1" applyBorder="1" applyAlignment="1">
      <alignment horizontal="left" vertical="center" indent="2"/>
    </xf>
    <xf numFmtId="0" fontId="12" fillId="9" borderId="62" xfId="5" applyFont="1" applyFill="1" applyBorder="1" applyAlignment="1">
      <alignment vertical="center"/>
    </xf>
    <xf numFmtId="167" fontId="15" fillId="9" borderId="64" xfId="5" applyNumberFormat="1" applyFont="1" applyFill="1" applyBorder="1" applyAlignment="1">
      <alignment horizontal="left" vertical="center" indent="2"/>
    </xf>
    <xf numFmtId="0" fontId="12" fillId="9" borderId="64" xfId="5" applyFont="1" applyFill="1" applyBorder="1" applyAlignment="1">
      <alignment vertical="center"/>
    </xf>
    <xf numFmtId="0" fontId="12" fillId="9" borderId="62" xfId="5" applyFont="1" applyFill="1" applyBorder="1" applyAlignment="1">
      <alignment horizontal="left" vertical="center" indent="2"/>
    </xf>
    <xf numFmtId="0" fontId="12" fillId="9" borderId="64" xfId="5" applyFont="1" applyFill="1" applyBorder="1" applyAlignment="1">
      <alignment horizontal="left" vertical="center" indent="2"/>
    </xf>
    <xf numFmtId="0" fontId="12" fillId="10" borderId="0" xfId="5" applyFont="1" applyFill="1" applyAlignment="1">
      <alignment horizontal="left" vertical="center" indent="2"/>
    </xf>
    <xf numFmtId="0" fontId="12" fillId="10" borderId="60" xfId="5" applyFont="1" applyFill="1" applyBorder="1" applyAlignment="1">
      <alignment horizontal="left" vertical="center" indent="2"/>
    </xf>
    <xf numFmtId="0" fontId="11" fillId="10" borderId="0" xfId="5" applyFont="1" applyFill="1" applyAlignment="1">
      <alignment horizontal="left" vertical="center" indent="1"/>
    </xf>
    <xf numFmtId="0" fontId="12" fillId="13" borderId="62" xfId="5" applyFont="1" applyFill="1" applyBorder="1" applyAlignment="1">
      <alignment horizontal="left" vertical="center" indent="1"/>
    </xf>
    <xf numFmtId="0" fontId="8" fillId="13" borderId="64" xfId="5" applyFont="1" applyFill="1" applyBorder="1" applyAlignment="1">
      <alignment horizontal="left" vertical="center" indent="1"/>
    </xf>
    <xf numFmtId="0" fontId="12" fillId="13" borderId="60" xfId="5" applyFont="1" applyFill="1" applyBorder="1" applyAlignment="1">
      <alignment horizontal="left" vertical="center" indent="1"/>
    </xf>
    <xf numFmtId="0" fontId="12" fillId="12" borderId="65" xfId="5" applyFont="1" applyFill="1" applyBorder="1" applyAlignment="1">
      <alignment horizontal="center" vertical="center"/>
    </xf>
    <xf numFmtId="0" fontId="0" fillId="9" borderId="0" xfId="0" applyFill="1" applyAlignment="1">
      <alignment wrapText="1"/>
    </xf>
    <xf numFmtId="0" fontId="35" fillId="10" borderId="0" xfId="5" applyFont="1" applyFill="1"/>
    <xf numFmtId="0" fontId="9" fillId="10" borderId="0" xfId="9" applyFont="1" applyFill="1" applyAlignment="1">
      <alignment horizontal="left" wrapText="1"/>
    </xf>
    <xf numFmtId="0" fontId="3" fillId="10" borderId="0" xfId="9" applyFill="1"/>
    <xf numFmtId="0" fontId="12" fillId="10" borderId="0" xfId="5" applyFont="1" applyFill="1" applyAlignment="1">
      <alignment horizontal="right"/>
    </xf>
    <xf numFmtId="0" fontId="37" fillId="10" borderId="0" xfId="0" applyFont="1" applyFill="1"/>
    <xf numFmtId="0" fontId="23" fillId="15" borderId="0" xfId="0" applyFont="1" applyFill="1" applyAlignment="1">
      <alignment horizontal="center" vertical="center"/>
    </xf>
    <xf numFmtId="0" fontId="38" fillId="15" borderId="3" xfId="0" applyFont="1" applyFill="1" applyBorder="1" applyAlignment="1">
      <alignment horizontal="center" vertical="center"/>
    </xf>
    <xf numFmtId="0" fontId="38" fillId="15" borderId="4" xfId="0" applyFont="1" applyFill="1" applyBorder="1" applyAlignment="1">
      <alignment horizontal="center" vertical="center"/>
    </xf>
    <xf numFmtId="0" fontId="38" fillId="15" borderId="4" xfId="0" applyFont="1" applyFill="1" applyBorder="1" applyAlignment="1">
      <alignment horizontal="center" vertical="center" wrapText="1"/>
    </xf>
    <xf numFmtId="0" fontId="38" fillId="15" borderId="5" xfId="0" applyFont="1" applyFill="1" applyBorder="1" applyAlignment="1">
      <alignment horizontal="center" vertical="center" wrapText="1"/>
    </xf>
    <xf numFmtId="0" fontId="38" fillId="15" borderId="0" xfId="0" applyFont="1" applyFill="1" applyAlignment="1">
      <alignment horizontal="center" vertical="center"/>
    </xf>
    <xf numFmtId="0" fontId="38" fillId="10" borderId="5" xfId="0" applyFont="1" applyFill="1" applyBorder="1" applyAlignment="1">
      <alignment horizontal="center" vertical="center"/>
    </xf>
    <xf numFmtId="0" fontId="38" fillId="15" borderId="5" xfId="0" applyFont="1" applyFill="1" applyBorder="1" applyAlignment="1">
      <alignment horizontal="center" vertical="center"/>
    </xf>
    <xf numFmtId="0" fontId="22" fillId="10" borderId="3" xfId="0" applyFont="1" applyFill="1" applyBorder="1"/>
    <xf numFmtId="0" fontId="26" fillId="10" borderId="0" xfId="9" applyFont="1" applyFill="1" applyAlignment="1">
      <alignment vertical="center"/>
    </xf>
    <xf numFmtId="0" fontId="26" fillId="10" borderId="0" xfId="9" applyFont="1" applyFill="1" applyAlignment="1">
      <alignment horizontal="center"/>
    </xf>
    <xf numFmtId="0" fontId="12" fillId="10" borderId="8" xfId="9" applyFont="1" applyFill="1" applyBorder="1" applyAlignment="1">
      <alignment horizontal="center"/>
    </xf>
    <xf numFmtId="3" fontId="26" fillId="10" borderId="0" xfId="9" applyNumberFormat="1" applyFont="1" applyFill="1" applyAlignment="1">
      <alignment horizontal="center"/>
    </xf>
    <xf numFmtId="176" fontId="26" fillId="10" borderId="0" xfId="9" applyNumberFormat="1" applyFont="1" applyFill="1" applyAlignment="1">
      <alignment horizontal="center"/>
    </xf>
    <xf numFmtId="0" fontId="27" fillId="10" borderId="0" xfId="9" applyFont="1" applyFill="1" applyAlignment="1">
      <alignment horizontal="center" vertical="center"/>
    </xf>
    <xf numFmtId="0" fontId="8" fillId="10" borderId="0" xfId="9" applyFont="1" applyFill="1" applyAlignment="1">
      <alignment horizontal="center" vertical="center"/>
    </xf>
    <xf numFmtId="0" fontId="7" fillId="10" borderId="0" xfId="9" applyFont="1" applyFill="1" applyAlignment="1">
      <alignment horizontal="center"/>
    </xf>
    <xf numFmtId="0" fontId="12" fillId="10" borderId="0" xfId="9" quotePrefix="1" applyFont="1" applyFill="1" applyAlignment="1">
      <alignment horizontal="center"/>
    </xf>
    <xf numFmtId="0" fontId="12" fillId="10" borderId="0" xfId="9" quotePrefix="1" applyFont="1" applyFill="1" applyAlignment="1">
      <alignment horizontal="center" vertical="center"/>
    </xf>
    <xf numFmtId="0" fontId="12" fillId="10" borderId="0" xfId="9" applyFont="1" applyFill="1" applyAlignment="1">
      <alignment horizontal="center"/>
    </xf>
    <xf numFmtId="0" fontId="7" fillId="10" borderId="16" xfId="9" applyFont="1" applyFill="1" applyBorder="1" applyAlignment="1">
      <alignment horizontal="center"/>
    </xf>
    <xf numFmtId="0" fontId="7" fillId="10" borderId="16" xfId="9" applyFont="1" applyFill="1" applyBorder="1" applyAlignment="1">
      <alignment horizontal="left"/>
    </xf>
    <xf numFmtId="0" fontId="12" fillId="10" borderId="16" xfId="9" applyFont="1" applyFill="1" applyBorder="1" applyAlignment="1">
      <alignment horizontal="center"/>
    </xf>
    <xf numFmtId="0" fontId="12" fillId="10" borderId="16" xfId="9" applyFont="1" applyFill="1" applyBorder="1" applyAlignment="1">
      <alignment horizontal="left"/>
    </xf>
    <xf numFmtId="0" fontId="8" fillId="10" borderId="16" xfId="9" applyFont="1" applyFill="1" applyBorder="1" applyAlignment="1">
      <alignment horizontal="center"/>
    </xf>
    <xf numFmtId="0" fontId="12" fillId="10" borderId="16" xfId="9" quotePrefix="1" applyFont="1" applyFill="1" applyBorder="1" applyAlignment="1">
      <alignment horizontal="center"/>
    </xf>
    <xf numFmtId="0" fontId="12" fillId="10" borderId="16" xfId="9" applyFont="1" applyFill="1" applyBorder="1"/>
    <xf numFmtId="0" fontId="12" fillId="10" borderId="16" xfId="9" quotePrefix="1" applyFont="1" applyFill="1" applyBorder="1" applyAlignment="1">
      <alignment horizontal="center" vertical="center"/>
    </xf>
    <xf numFmtId="0" fontId="12" fillId="10" borderId="16" xfId="9" applyFont="1" applyFill="1" applyBorder="1" applyAlignment="1">
      <alignment vertical="center" wrapText="1"/>
    </xf>
    <xf numFmtId="0" fontId="8" fillId="10" borderId="16" xfId="9" applyFont="1" applyFill="1" applyBorder="1" applyAlignment="1">
      <alignment horizontal="center" vertical="center"/>
    </xf>
    <xf numFmtId="0" fontId="7" fillId="10" borderId="9" xfId="9" applyFont="1" applyFill="1" applyBorder="1" applyAlignment="1">
      <alignment horizontal="center"/>
    </xf>
    <xf numFmtId="0" fontId="7" fillId="10" borderId="9" xfId="9" applyFont="1" applyFill="1" applyBorder="1" applyAlignment="1">
      <alignment horizontal="left"/>
    </xf>
    <xf numFmtId="0" fontId="12" fillId="10" borderId="0" xfId="9" applyFont="1" applyFill="1" applyAlignment="1">
      <alignment horizontal="left"/>
    </xf>
    <xf numFmtId="0" fontId="12" fillId="10" borderId="16" xfId="9" applyFont="1" applyFill="1" applyBorder="1" applyAlignment="1">
      <alignment wrapText="1"/>
    </xf>
    <xf numFmtId="0" fontId="8" fillId="10" borderId="14" xfId="9" applyFont="1" applyFill="1" applyBorder="1" applyAlignment="1">
      <alignment horizontal="center"/>
    </xf>
    <xf numFmtId="0" fontId="12" fillId="10" borderId="16" xfId="9" quotePrefix="1" applyFont="1" applyFill="1" applyBorder="1" applyAlignment="1">
      <alignment horizontal="center" wrapText="1"/>
    </xf>
    <xf numFmtId="0" fontId="8" fillId="10" borderId="0" xfId="9" applyFont="1" applyFill="1" applyAlignment="1">
      <alignment horizontal="center"/>
    </xf>
    <xf numFmtId="2" fontId="8" fillId="10" borderId="16" xfId="9" applyNumberFormat="1" applyFont="1" applyFill="1" applyBorder="1" applyAlignment="1">
      <alignment horizontal="center"/>
    </xf>
    <xf numFmtId="1" fontId="8" fillId="10" borderId="0" xfId="9" applyNumberFormat="1" applyFont="1" applyFill="1" applyAlignment="1">
      <alignment horizontal="center"/>
    </xf>
    <xf numFmtId="176" fontId="8" fillId="10" borderId="0" xfId="9" applyNumberFormat="1" applyFont="1" applyFill="1" applyAlignment="1">
      <alignment horizontal="center"/>
    </xf>
    <xf numFmtId="3" fontId="29" fillId="10" borderId="0" xfId="9" applyNumberFormat="1" applyFont="1" applyFill="1" applyAlignment="1">
      <alignment horizontal="center"/>
    </xf>
    <xf numFmtId="3" fontId="7" fillId="10" borderId="17" xfId="9" applyNumberFormat="1" applyFont="1" applyFill="1" applyBorder="1" applyAlignment="1">
      <alignment horizontal="center"/>
    </xf>
    <xf numFmtId="176" fontId="7" fillId="10" borderId="0" xfId="9" applyNumberFormat="1" applyFont="1" applyFill="1" applyAlignment="1">
      <alignment horizontal="center"/>
    </xf>
    <xf numFmtId="3" fontId="29" fillId="10" borderId="18" xfId="9" applyNumberFormat="1" applyFont="1" applyFill="1" applyBorder="1" applyAlignment="1">
      <alignment horizontal="center"/>
    </xf>
    <xf numFmtId="176" fontId="8" fillId="10" borderId="0" xfId="9" applyNumberFormat="1" applyFont="1" applyFill="1" applyAlignment="1">
      <alignment horizontal="center" vertical="center"/>
    </xf>
    <xf numFmtId="176" fontId="27" fillId="10" borderId="11" xfId="9" applyNumberFormat="1" applyFont="1" applyFill="1" applyBorder="1" applyAlignment="1">
      <alignment horizontal="center"/>
    </xf>
    <xf numFmtId="0" fontId="27" fillId="10" borderId="9" xfId="9" applyFont="1" applyFill="1" applyBorder="1" applyAlignment="1">
      <alignment horizontal="center"/>
    </xf>
    <xf numFmtId="176" fontId="27" fillId="10" borderId="0" xfId="9" applyNumberFormat="1" applyFont="1" applyFill="1" applyAlignment="1">
      <alignment horizontal="center"/>
    </xf>
    <xf numFmtId="0" fontId="27" fillId="10" borderId="16" xfId="9" applyFont="1" applyFill="1" applyBorder="1" applyAlignment="1">
      <alignment horizontal="center"/>
    </xf>
    <xf numFmtId="3" fontId="29" fillId="10" borderId="17" xfId="9" applyNumberFormat="1" applyFont="1" applyFill="1" applyBorder="1" applyAlignment="1">
      <alignment horizontal="center"/>
    </xf>
    <xf numFmtId="4" fontId="29" fillId="10" borderId="18" xfId="9" applyNumberFormat="1" applyFont="1" applyFill="1" applyBorder="1" applyAlignment="1">
      <alignment horizontal="center"/>
    </xf>
    <xf numFmtId="3" fontId="8" fillId="10" borderId="18" xfId="9" applyNumberFormat="1" applyFont="1" applyFill="1" applyBorder="1" applyAlignment="1">
      <alignment horizontal="center"/>
    </xf>
    <xf numFmtId="3" fontId="29" fillId="10" borderId="11" xfId="9" applyNumberFormat="1" applyFont="1" applyFill="1" applyBorder="1" applyAlignment="1">
      <alignment horizontal="center"/>
    </xf>
    <xf numFmtId="0" fontId="27" fillId="16" borderId="9" xfId="9" applyFont="1" applyFill="1" applyBorder="1" applyAlignment="1">
      <alignment horizontal="center" vertical="center"/>
    </xf>
    <xf numFmtId="0" fontId="27" fillId="16" borderId="9" xfId="9" applyFont="1" applyFill="1" applyBorder="1" applyAlignment="1">
      <alignment horizontal="left" vertical="center"/>
    </xf>
    <xf numFmtId="0" fontId="27" fillId="16" borderId="9" xfId="9" applyFont="1" applyFill="1" applyBorder="1" applyAlignment="1">
      <alignment horizontal="center" vertical="center" wrapText="1"/>
    </xf>
    <xf numFmtId="3" fontId="27" fillId="16" borderId="10" xfId="9" applyNumberFormat="1" applyFont="1" applyFill="1" applyBorder="1" applyAlignment="1">
      <alignment horizontal="left" vertical="center"/>
    </xf>
    <xf numFmtId="3" fontId="27" fillId="16" borderId="11" xfId="9" applyNumberFormat="1" applyFont="1" applyFill="1" applyBorder="1" applyAlignment="1">
      <alignment horizontal="left" vertical="center"/>
    </xf>
    <xf numFmtId="176" fontId="27" fillId="16" borderId="11" xfId="9" applyNumberFormat="1" applyFont="1" applyFill="1" applyBorder="1" applyAlignment="1">
      <alignment horizontal="centerContinuous" vertical="center" wrapText="1"/>
    </xf>
    <xf numFmtId="3" fontId="27" fillId="16" borderId="10" xfId="9" applyNumberFormat="1" applyFont="1" applyFill="1" applyBorder="1" applyAlignment="1">
      <alignment horizontal="centerContinuous" vertical="center" wrapText="1"/>
    </xf>
    <xf numFmtId="176" fontId="27" fillId="16" borderId="12" xfId="9" applyNumberFormat="1" applyFont="1" applyFill="1" applyBorder="1" applyAlignment="1">
      <alignment horizontal="centerContinuous" vertical="center" wrapText="1"/>
    </xf>
    <xf numFmtId="176" fontId="27" fillId="16" borderId="13" xfId="9" applyNumberFormat="1" applyFont="1" applyFill="1" applyBorder="1" applyAlignment="1">
      <alignment horizontal="centerContinuous" vertical="center" wrapText="1"/>
    </xf>
    <xf numFmtId="0" fontId="27" fillId="16" borderId="14" xfId="9" applyFont="1" applyFill="1" applyBorder="1" applyAlignment="1">
      <alignment horizontal="center" vertical="center"/>
    </xf>
    <xf numFmtId="0" fontId="27" fillId="16" borderId="14" xfId="9" applyFont="1" applyFill="1" applyBorder="1" applyAlignment="1">
      <alignment horizontal="left" vertical="center"/>
    </xf>
    <xf numFmtId="0" fontId="28" fillId="16" borderId="14" xfId="9" applyFont="1" applyFill="1" applyBorder="1" applyAlignment="1">
      <alignment horizontal="center" vertical="center" wrapText="1"/>
    </xf>
    <xf numFmtId="0" fontId="28" fillId="16" borderId="8" xfId="9" applyFont="1" applyFill="1" applyBorder="1" applyAlignment="1">
      <alignment horizontal="center" vertical="center" wrapText="1"/>
    </xf>
    <xf numFmtId="176" fontId="28" fillId="16" borderId="8" xfId="9" applyNumberFormat="1" applyFont="1" applyFill="1" applyBorder="1" applyAlignment="1">
      <alignment horizontal="center" vertical="center" wrapText="1"/>
    </xf>
    <xf numFmtId="3" fontId="28" fillId="16" borderId="15" xfId="9" applyNumberFormat="1" applyFont="1" applyFill="1" applyBorder="1" applyAlignment="1">
      <alignment horizontal="center" vertical="center" wrapText="1"/>
    </xf>
    <xf numFmtId="0" fontId="39" fillId="10" borderId="0" xfId="9" applyFont="1" applyFill="1" applyAlignment="1">
      <alignment horizontal="left" vertical="center"/>
    </xf>
    <xf numFmtId="3" fontId="12" fillId="10" borderId="0" xfId="9" applyNumberFormat="1" applyFont="1" applyFill="1" applyAlignment="1">
      <alignment horizontal="center"/>
    </xf>
    <xf numFmtId="176" fontId="12" fillId="10" borderId="0" xfId="9" applyNumberFormat="1" applyFont="1" applyFill="1" applyAlignment="1">
      <alignment horizontal="center"/>
    </xf>
    <xf numFmtId="0" fontId="40" fillId="10" borderId="0" xfId="9" applyFont="1" applyFill="1" applyAlignment="1">
      <alignment horizontal="left" vertical="center"/>
    </xf>
    <xf numFmtId="0" fontId="8" fillId="10" borderId="18" xfId="9" applyFont="1" applyFill="1" applyBorder="1" applyAlignment="1">
      <alignment horizontal="center"/>
    </xf>
    <xf numFmtId="3" fontId="8" fillId="10" borderId="0" xfId="9" applyNumberFormat="1" applyFont="1" applyFill="1" applyAlignment="1">
      <alignment horizontal="center"/>
    </xf>
    <xf numFmtId="0" fontId="11" fillId="10" borderId="0" xfId="9" applyFont="1" applyFill="1" applyAlignment="1">
      <alignment horizontal="center"/>
    </xf>
    <xf numFmtId="3" fontId="11" fillId="10" borderId="0" xfId="9" applyNumberFormat="1" applyFont="1" applyFill="1" applyAlignment="1">
      <alignment horizontal="center"/>
    </xf>
    <xf numFmtId="176" fontId="11" fillId="10" borderId="0" xfId="9" applyNumberFormat="1" applyFont="1" applyFill="1" applyAlignment="1">
      <alignment horizontal="center"/>
    </xf>
    <xf numFmtId="0" fontId="12" fillId="10" borderId="18" xfId="9" applyFont="1" applyFill="1" applyBorder="1" applyAlignment="1">
      <alignment horizontal="left"/>
    </xf>
    <xf numFmtId="0" fontId="12" fillId="10" borderId="18" xfId="9" applyFont="1" applyFill="1" applyBorder="1"/>
    <xf numFmtId="0" fontId="12" fillId="10" borderId="14" xfId="9" quotePrefix="1" applyFont="1" applyFill="1" applyBorder="1" applyAlignment="1">
      <alignment horizontal="center"/>
    </xf>
    <xf numFmtId="0" fontId="12" fillId="10" borderId="15" xfId="9" applyFont="1" applyFill="1" applyBorder="1"/>
    <xf numFmtId="2" fontId="8" fillId="10" borderId="14" xfId="9" applyNumberFormat="1" applyFont="1" applyFill="1" applyBorder="1" applyAlignment="1">
      <alignment horizontal="center"/>
    </xf>
    <xf numFmtId="2" fontId="8" fillId="10" borderId="18" xfId="9" applyNumberFormat="1" applyFont="1" applyFill="1" applyBorder="1" applyAlignment="1">
      <alignment horizontal="center"/>
    </xf>
    <xf numFmtId="4" fontId="12" fillId="10" borderId="0" xfId="9" applyNumberFormat="1" applyFont="1" applyFill="1"/>
    <xf numFmtId="4" fontId="12" fillId="10" borderId="0" xfId="9" applyNumberFormat="1" applyFont="1" applyFill="1" applyAlignment="1">
      <alignment horizontal="left"/>
    </xf>
    <xf numFmtId="4" fontId="11" fillId="10" borderId="0" xfId="9" applyNumberFormat="1" applyFont="1" applyFill="1" applyAlignment="1">
      <alignment horizontal="center"/>
    </xf>
    <xf numFmtId="4" fontId="12" fillId="10" borderId="0" xfId="9" applyNumberFormat="1" applyFont="1" applyFill="1" applyAlignment="1">
      <alignment horizontal="center"/>
    </xf>
    <xf numFmtId="0" fontId="16" fillId="10" borderId="0" xfId="9" applyFont="1" applyFill="1" applyAlignment="1">
      <alignment horizontal="left"/>
    </xf>
    <xf numFmtId="4" fontId="16" fillId="10" borderId="0" xfId="9" applyNumberFormat="1" applyFont="1" applyFill="1" applyAlignment="1">
      <alignment horizontal="left"/>
    </xf>
    <xf numFmtId="0" fontId="0" fillId="4" borderId="72" xfId="0" applyFill="1" applyBorder="1"/>
    <xf numFmtId="0" fontId="29" fillId="10" borderId="0" xfId="5" applyFont="1" applyFill="1"/>
    <xf numFmtId="0" fontId="0" fillId="17" borderId="0" xfId="0" applyFill="1" applyAlignment="1">
      <alignment wrapText="1"/>
    </xf>
    <xf numFmtId="0" fontId="0" fillId="17" borderId="0" xfId="0" applyFill="1"/>
    <xf numFmtId="0" fontId="22" fillId="17" borderId="0" xfId="0" applyFont="1" applyFill="1"/>
    <xf numFmtId="0" fontId="22" fillId="9" borderId="0" xfId="0" applyFont="1" applyFill="1"/>
    <xf numFmtId="0" fontId="41" fillId="0" borderId="0" xfId="0" applyFont="1" applyAlignment="1">
      <alignment vertical="center"/>
    </xf>
    <xf numFmtId="0" fontId="42" fillId="0" borderId="0" xfId="0" applyFont="1"/>
    <xf numFmtId="0" fontId="43" fillId="0" borderId="0" xfId="0" applyFont="1"/>
    <xf numFmtId="0" fontId="44" fillId="0" borderId="0" xfId="0" applyFont="1"/>
    <xf numFmtId="0" fontId="44" fillId="4" borderId="0" xfId="0" applyFont="1" applyFill="1"/>
    <xf numFmtId="0" fontId="42" fillId="8" borderId="0" xfId="0" applyFont="1" applyFill="1"/>
    <xf numFmtId="0" fontId="6" fillId="8" borderId="0" xfId="0" applyFont="1" applyFill="1"/>
    <xf numFmtId="0" fontId="42" fillId="8" borderId="5" xfId="0" applyFont="1" applyFill="1" applyBorder="1" applyAlignment="1">
      <alignment horizontal="center" vertical="center"/>
    </xf>
    <xf numFmtId="0" fontId="44" fillId="4" borderId="5" xfId="0" applyFont="1" applyFill="1" applyBorder="1"/>
    <xf numFmtId="0" fontId="6" fillId="4" borderId="0" xfId="0" applyFont="1" applyFill="1"/>
    <xf numFmtId="176" fontId="13" fillId="14" borderId="1" xfId="5" applyNumberFormat="1" applyFont="1" applyFill="1" applyBorder="1" applyAlignment="1">
      <alignment horizontal="center" vertical="center"/>
    </xf>
    <xf numFmtId="1" fontId="12" fillId="12" borderId="56" xfId="5" applyNumberFormat="1" applyFont="1" applyFill="1" applyBorder="1" applyAlignment="1">
      <alignment horizontal="center" vertical="center"/>
    </xf>
    <xf numFmtId="1" fontId="12" fillId="12" borderId="58" xfId="5" applyNumberFormat="1" applyFont="1" applyFill="1" applyBorder="1" applyAlignment="1">
      <alignment horizontal="center" vertical="center"/>
    </xf>
    <xf numFmtId="3" fontId="12" fillId="12" borderId="57" xfId="5" applyNumberFormat="1" applyFont="1" applyFill="1" applyBorder="1" applyAlignment="1">
      <alignment horizontal="center" vertical="center"/>
    </xf>
    <xf numFmtId="3" fontId="12" fillId="12" borderId="58" xfId="5" applyNumberFormat="1" applyFont="1" applyFill="1" applyBorder="1" applyAlignment="1">
      <alignment horizontal="center" vertical="center"/>
    </xf>
    <xf numFmtId="1" fontId="12" fillId="12" borderId="1" xfId="5" applyNumberFormat="1" applyFont="1" applyFill="1" applyBorder="1" applyAlignment="1">
      <alignment horizontal="center" vertical="center"/>
    </xf>
    <xf numFmtId="0" fontId="0" fillId="18" borderId="41" xfId="0" applyFill="1" applyBorder="1" applyAlignment="1">
      <alignment horizontal="center"/>
    </xf>
    <xf numFmtId="0" fontId="0" fillId="18" borderId="32" xfId="0" applyFill="1" applyBorder="1" applyAlignment="1">
      <alignment horizontal="center"/>
    </xf>
    <xf numFmtId="0" fontId="0" fillId="18" borderId="22" xfId="0" applyFill="1" applyBorder="1" applyAlignment="1">
      <alignment horizontal="center"/>
    </xf>
    <xf numFmtId="0" fontId="0" fillId="18" borderId="28" xfId="0" applyFill="1" applyBorder="1" applyAlignment="1">
      <alignment horizontal="center"/>
    </xf>
    <xf numFmtId="0" fontId="0" fillId="18" borderId="25" xfId="0" applyFill="1" applyBorder="1" applyAlignment="1">
      <alignment horizontal="center"/>
    </xf>
    <xf numFmtId="0" fontId="0" fillId="18" borderId="50" xfId="0" applyFill="1" applyBorder="1" applyAlignment="1">
      <alignment horizontal="center"/>
    </xf>
    <xf numFmtId="0" fontId="0" fillId="18" borderId="45" xfId="0" applyFill="1" applyBorder="1" applyAlignment="1">
      <alignment horizontal="center"/>
    </xf>
    <xf numFmtId="2" fontId="0" fillId="19" borderId="42" xfId="0" applyNumberFormat="1" applyFill="1" applyBorder="1"/>
    <xf numFmtId="2" fontId="0" fillId="19" borderId="33" xfId="0" applyNumberFormat="1" applyFill="1" applyBorder="1"/>
    <xf numFmtId="2" fontId="0" fillId="19" borderId="26" xfId="0" applyNumberFormat="1" applyFill="1" applyBorder="1"/>
    <xf numFmtId="2" fontId="22" fillId="19" borderId="36" xfId="0" applyNumberFormat="1" applyFont="1" applyFill="1" applyBorder="1"/>
    <xf numFmtId="2" fontId="0" fillId="19" borderId="51" xfId="0" applyNumberFormat="1" applyFill="1" applyBorder="1"/>
    <xf numFmtId="2" fontId="0" fillId="19" borderId="30" xfId="0" applyNumberFormat="1" applyFill="1" applyBorder="1"/>
    <xf numFmtId="2" fontId="0" fillId="4" borderId="42" xfId="0" applyNumberFormat="1" applyFill="1" applyBorder="1"/>
    <xf numFmtId="2" fontId="0" fillId="4" borderId="73" xfId="0" applyNumberFormat="1" applyFill="1" applyBorder="1"/>
    <xf numFmtId="2" fontId="22" fillId="4" borderId="5" xfId="0" applyNumberFormat="1" applyFont="1" applyFill="1" applyBorder="1"/>
    <xf numFmtId="0" fontId="11" fillId="13" borderId="6" xfId="5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0" fillId="13" borderId="2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6" fillId="11" borderId="0" xfId="9" applyFont="1" applyFill="1" applyAlignment="1">
      <alignment horizontal="left" vertical="center" wrapText="1"/>
    </xf>
    <xf numFmtId="0" fontId="0" fillId="0" borderId="0" xfId="0"/>
  </cellXfs>
  <cellStyles count="11">
    <cellStyle name="40 % - Akzent2 2" xfId="8" xr:uid="{302A5759-BDDD-40F4-BDBE-DA1FA9B4E497}"/>
    <cellStyle name="dbkatalog" xfId="1" xr:uid="{7B33B1EF-93B2-4AAC-B6CB-079624051A16}"/>
    <cellStyle name="DB-Katalog" xfId="2" xr:uid="{B13A1598-5415-464D-87F6-3E154C2C1AFE}"/>
    <cellStyle name="Komma 2 2" xfId="10" xr:uid="{D58E2C99-466B-49BB-B967-7057494E8E20}"/>
    <cellStyle name="Normal" xfId="0" builtinId="0"/>
    <cellStyle name="Normal 2" xfId="9" xr:uid="{22366787-C50B-45A0-9B0A-23A796B4E0FB}"/>
    <cellStyle name="Standard 2" xfId="7" xr:uid="{1B36E5F0-4191-497E-8A16-87FD517F51C2}"/>
    <cellStyle name="Standard_Gemüse-97" xfId="3" xr:uid="{E7E6FB6F-1467-403D-A9C4-C7926680F43B}"/>
    <cellStyle name="Standard_Leistungen" xfId="4" xr:uid="{28650C37-F1E2-48A5-BBBC-7D30364CF483}"/>
    <cellStyle name="Standard_WW GH_1" xfId="5" xr:uid="{07B7A7AE-22BD-42E3-A9EB-6B010F5E21A5}"/>
    <cellStyle name="test" xfId="6" xr:uid="{9EC8FDFD-9A4F-4745-8C78-EF91088552CC}"/>
  </cellStyles>
  <dxfs count="2">
    <dxf>
      <numFmt numFmtId="174" formatCode="#\ ##0\ &quot;t&quot;"/>
    </dxf>
    <dxf>
      <numFmt numFmtId="174" formatCode="#\ ##0\ &quot;t&quot;"/>
    </dxf>
  </dxfs>
  <tableStyles count="0" defaultTableStyle="TableStyleMedium9" defaultPivotStyle="PivotStyleLight16"/>
  <colors>
    <mruColors>
      <color rgb="FFFFCC00"/>
      <color rgb="FFFF9900"/>
      <color rgb="FF99FF99"/>
      <color rgb="FFCCFFCC"/>
      <color rgb="FFFFFFCC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lw-s-pr.wbf.admin.ch\OSLW-PR$\OS\2\5\2\3\2400\KoKa_25_wor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eidur.sharepoint.com/310_Grp/03%20ProjekteAuftraege_Contrats%20de%20projets/DB-MB/DB%202012/DB_12_Entwicklung/Getreide12/Getreide12_08_6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-Entw\Deckungsbeitr&#228;ge\DB%25202007\DB-07-Entwicklung\Getreide07\Getrei07-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ahmen"/>
      <sheetName val="Preise_allg"/>
      <sheetName val="Preisinput"/>
      <sheetName val="calc"/>
      <sheetName val="Rohdaten_Print_d"/>
      <sheetName val="Rohdaten_Print_f"/>
      <sheetName val="Auszug_Rohdaten"/>
      <sheetName val="Tabellen_1_2_6_9_10"/>
      <sheetName val="Tabelle_7d"/>
      <sheetName val="Tabelle_7f"/>
      <sheetName val="Tabellen_8_11"/>
      <sheetName val="Rohdaten_Memento_f"/>
      <sheetName val="Rohdaten_Wirz_d"/>
      <sheetName val="Grafik"/>
      <sheetName val="Maschinenstruktur"/>
      <sheetName val="Reparaturen"/>
      <sheetName val="Rep_Traktoren"/>
      <sheetName val="Diverses"/>
      <sheetName val="MaschinenFrz"/>
      <sheetName val="wirz_d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alt"/>
      <sheetName val="Einleitung"/>
      <sheetName val="Leistungen"/>
      <sheetName val="Kosten"/>
      <sheetName val="Verf_Proc"/>
      <sheetName val="WW GH"/>
      <sheetName val="WW EH"/>
      <sheetName val="SW GH"/>
      <sheetName val="Dinkel GH"/>
      <sheetName val="Dinkel EH"/>
      <sheetName val="Roggen GH"/>
      <sheetName val="Roggen EH"/>
      <sheetName val="Emmer"/>
      <sheetName val="Hafer  EH"/>
      <sheetName val="Triticale GH"/>
      <sheetName val="WG GH"/>
      <sheetName val="Hafer GH "/>
      <sheetName val="VZ"/>
      <sheetName val="Hilfsdaten"/>
      <sheetName val="Allg. Bemerk."/>
      <sheetName val="modDBKAT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halt"/>
      <sheetName val="Einleitung"/>
      <sheetName val="Leistungen"/>
      <sheetName val="Kosten"/>
      <sheetName val="Anbauverfahren"/>
      <sheetName val="WW GH"/>
      <sheetName val="WW EH"/>
      <sheetName val="SW GH"/>
      <sheetName val="Dinkel GH"/>
      <sheetName val="Dinkel EH"/>
      <sheetName val="Roggen GH"/>
      <sheetName val="Roggen EH"/>
      <sheetName val="Emmer"/>
      <sheetName val="Hafer  EH"/>
      <sheetName val="Triticale GH"/>
      <sheetName val="WG GH"/>
      <sheetName val="Hafer GH "/>
      <sheetName val="VZ"/>
      <sheetName val="Hilfsdaten"/>
      <sheetName val="Allg. Bemerk."/>
      <sheetName val="modDBKAT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4</v>
  </rv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BAEF1-AD2B-4A2D-B04C-3128ED8E70CA}">
  <sheetPr codeName="Feuil1">
    <tabColor theme="8" tint="-0.499984740745262"/>
  </sheetPr>
  <dimension ref="A1:AG75"/>
  <sheetViews>
    <sheetView tabSelected="1" zoomScale="140" zoomScaleNormal="140" workbookViewId="0">
      <selection activeCell="K2" sqref="K2:L2"/>
    </sheetView>
  </sheetViews>
  <sheetFormatPr baseColWidth="10" defaultColWidth="0" defaultRowHeight="11.4" zeroHeight="1" outlineLevelRow="1"/>
  <cols>
    <col min="1" max="1" width="12.77734375" style="20" customWidth="1"/>
    <col min="2" max="2" width="11.77734375" style="20" customWidth="1"/>
    <col min="3" max="3" width="6.77734375" style="21" customWidth="1"/>
    <col min="4" max="5" width="6.77734375" style="20" customWidth="1"/>
    <col min="6" max="6" width="7.77734375" style="20" customWidth="1"/>
    <col min="7" max="8" width="6.77734375" style="20" customWidth="1"/>
    <col min="9" max="9" width="9.77734375" style="20" customWidth="1"/>
    <col min="10" max="11" width="6.77734375" style="20" customWidth="1"/>
    <col min="12" max="12" width="7.77734375" style="20" customWidth="1"/>
    <col min="13" max="13" width="5.5546875" style="20" customWidth="1"/>
    <col min="14" max="14" width="6.21875" style="20" hidden="1" customWidth="1"/>
    <col min="15" max="20" width="0" style="20" hidden="1" customWidth="1"/>
    <col min="21" max="21" width="52.44140625" style="20" bestFit="1" customWidth="1"/>
    <col min="22" max="22" width="11.44140625" style="20" customWidth="1"/>
    <col min="23" max="33" width="0" style="20" hidden="1" customWidth="1"/>
    <col min="34" max="16384" width="11.44140625" style="20" hidden="1"/>
  </cols>
  <sheetData>
    <row r="1" spans="1:30">
      <c r="A1" s="227"/>
      <c r="B1" s="227"/>
      <c r="C1" s="228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</row>
    <row r="2" spans="1:30" ht="30">
      <c r="A2" s="403" t="str">
        <f>Text!A61</f>
        <v>Calculateur MB</v>
      </c>
      <c r="B2" s="227"/>
      <c r="C2" s="228"/>
      <c r="D2" s="227"/>
      <c r="E2" s="227"/>
      <c r="F2" s="227"/>
      <c r="G2" s="227"/>
      <c r="H2" s="227"/>
      <c r="J2" s="406" t="e" vm="1">
        <f>VLOOKUP(K2,Liste!A7:B8,2,0)</f>
        <v>#VALUE!</v>
      </c>
      <c r="K2" s="540" t="s">
        <v>78</v>
      </c>
      <c r="L2" s="541"/>
      <c r="M2" s="405"/>
      <c r="N2" s="405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</row>
    <row r="3" spans="1:30" ht="13.8">
      <c r="A3" s="498" t="str">
        <f>Liste!A10</f>
        <v>Version 1.04</v>
      </c>
      <c r="B3" s="227"/>
      <c r="C3" s="228"/>
      <c r="D3" s="227"/>
      <c r="E3" s="227"/>
      <c r="F3" s="227"/>
      <c r="G3" s="227"/>
      <c r="H3" s="227"/>
      <c r="K3" s="404"/>
      <c r="L3" s="404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27"/>
    </row>
    <row r="4" spans="1:30">
      <c r="A4" s="227"/>
      <c r="B4" s="227"/>
      <c r="C4" s="228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  <c r="AA4" s="227"/>
      <c r="AB4" s="227"/>
      <c r="AC4" s="227"/>
      <c r="AD4" s="227"/>
    </row>
    <row r="5" spans="1:30" s="2" customFormat="1" ht="49.5" customHeight="1">
      <c r="A5" s="51" t="str">
        <f>Text!A3</f>
        <v>Betteraves sucrières</v>
      </c>
      <c r="B5" s="52"/>
      <c r="C5" s="53" t="s">
        <v>1</v>
      </c>
      <c r="D5" s="535" t="str">
        <f>Text!A4</f>
        <v>Betteraves sucrières
BIO, départ champ
Version Cat.- Marge brute</v>
      </c>
      <c r="E5" s="538"/>
      <c r="F5" s="539"/>
      <c r="G5" s="535" t="str">
        <f>Text!A5</f>
        <v>Propre exploitation</v>
      </c>
      <c r="H5" s="536"/>
      <c r="I5" s="537"/>
      <c r="J5" s="535" t="str">
        <f>Text!A6</f>
        <v>Variante</v>
      </c>
      <c r="K5" s="536"/>
      <c r="L5" s="537"/>
      <c r="M5" s="50"/>
      <c r="N5" s="29" t="s">
        <v>2</v>
      </c>
      <c r="O5" s="17"/>
      <c r="U5" s="54"/>
      <c r="V5" s="54"/>
      <c r="W5" s="54"/>
      <c r="X5" s="54"/>
      <c r="Y5" s="54"/>
      <c r="Z5" s="54"/>
      <c r="AA5" s="54"/>
      <c r="AB5" s="54"/>
      <c r="AC5" s="54"/>
      <c r="AD5" s="54"/>
    </row>
    <row r="6" spans="1:30" s="2" customFormat="1" ht="16.350000000000001" customHeight="1">
      <c r="A6" s="51" t="s">
        <v>3</v>
      </c>
      <c r="B6" s="52"/>
      <c r="C6" s="49" t="str">
        <f>Text!A7</f>
        <v>unité de</v>
      </c>
      <c r="D6" s="48" t="str">
        <f>Text!A8</f>
        <v>quantité</v>
      </c>
      <c r="E6" s="48" t="str">
        <f>Text!A9</f>
        <v>prix</v>
      </c>
      <c r="F6" s="303" t="str">
        <f>Text!A10</f>
        <v>montant</v>
      </c>
      <c r="G6" s="48" t="str">
        <f>Text!A8</f>
        <v>quantité</v>
      </c>
      <c r="H6" s="48" t="str">
        <f>Text!A9</f>
        <v>prix</v>
      </c>
      <c r="I6" s="303" t="str">
        <f>Text!A10</f>
        <v>montant</v>
      </c>
      <c r="J6" s="48" t="str">
        <f>Text!A8</f>
        <v>quantité</v>
      </c>
      <c r="K6" s="48" t="str">
        <f>Text!A9</f>
        <v>prix</v>
      </c>
      <c r="L6" s="303" t="str">
        <f>Text!A10</f>
        <v>montant</v>
      </c>
      <c r="M6" s="54"/>
      <c r="N6" s="2" t="s">
        <v>4</v>
      </c>
      <c r="P6" s="18"/>
      <c r="U6" s="54"/>
      <c r="V6" s="54"/>
      <c r="W6" s="54"/>
      <c r="X6" s="54"/>
      <c r="Y6" s="54"/>
      <c r="Z6" s="54"/>
      <c r="AA6" s="54"/>
      <c r="AB6" s="54"/>
      <c r="AC6" s="54"/>
      <c r="AD6" s="54"/>
    </row>
    <row r="7" spans="1:30" s="2" customFormat="1" ht="12.75" customHeight="1">
      <c r="A7" s="54"/>
      <c r="B7" s="54"/>
      <c r="C7" s="50" t="str">
        <f>Text!A8</f>
        <v>quantité</v>
      </c>
      <c r="D7" s="48"/>
      <c r="E7" s="48" t="s">
        <v>5</v>
      </c>
      <c r="F7" s="303" t="s">
        <v>5</v>
      </c>
      <c r="G7" s="48"/>
      <c r="H7" s="48" t="s">
        <v>5</v>
      </c>
      <c r="I7" s="303" t="s">
        <v>5</v>
      </c>
      <c r="J7" s="48"/>
      <c r="K7" s="48" t="s">
        <v>5</v>
      </c>
      <c r="L7" s="303" t="s">
        <v>5</v>
      </c>
      <c r="M7" s="54"/>
      <c r="U7" s="54"/>
      <c r="V7" s="54"/>
      <c r="W7" s="54"/>
      <c r="X7" s="54"/>
      <c r="Y7" s="54"/>
      <c r="Z7" s="54"/>
      <c r="AA7" s="54"/>
      <c r="AB7" s="54"/>
      <c r="AC7" s="54"/>
      <c r="AD7" s="54"/>
    </row>
    <row r="8" spans="1:30" s="2" customFormat="1" ht="13.05" customHeight="1">
      <c r="A8" s="400" t="str">
        <f>Text!A11</f>
        <v>Betteraves</v>
      </c>
      <c r="B8" s="290"/>
      <c r="C8" s="291" t="str">
        <f>Text!A55</f>
        <v>dt</v>
      </c>
      <c r="D8" s="292">
        <v>500</v>
      </c>
      <c r="E8" s="293">
        <v>16.850000000000001</v>
      </c>
      <c r="F8" s="292">
        <f>D8*E8</f>
        <v>8425</v>
      </c>
      <c r="G8" s="234"/>
      <c r="H8" s="284"/>
      <c r="I8" s="292">
        <f>G8*H8</f>
        <v>0</v>
      </c>
      <c r="J8" s="234"/>
      <c r="K8" s="284"/>
      <c r="L8" s="292">
        <f>J8*K8</f>
        <v>0</v>
      </c>
      <c r="M8" s="54"/>
      <c r="N8" s="11"/>
      <c r="U8" s="233" t="str">
        <f>Text!A58</f>
        <v>Saisie possible</v>
      </c>
      <c r="V8" s="54"/>
      <c r="W8" s="54"/>
      <c r="X8" s="54"/>
      <c r="Y8" s="54"/>
      <c r="Z8" s="54"/>
      <c r="AA8" s="54"/>
      <c r="AB8" s="54"/>
      <c r="AC8" s="54"/>
      <c r="AD8" s="54"/>
    </row>
    <row r="9" spans="1:30" s="2" customFormat="1" ht="13.05" customHeight="1">
      <c r="A9" s="398" t="str">
        <f>Text!A12</f>
        <v>Contribution cult. des champs</v>
      </c>
      <c r="B9" s="294"/>
      <c r="C9" s="295"/>
      <c r="D9" s="296"/>
      <c r="E9" s="297"/>
      <c r="F9" s="296">
        <v>2100</v>
      </c>
      <c r="G9" s="296"/>
      <c r="H9" s="297"/>
      <c r="I9" s="236">
        <v>2100</v>
      </c>
      <c r="J9" s="296"/>
      <c r="K9" s="297"/>
      <c r="L9" s="236">
        <v>2100</v>
      </c>
      <c r="M9" s="54"/>
      <c r="U9" s="289" t="str">
        <f>Text!A59</f>
        <v>Saisie directe et écrasement formules ou valeurs possible</v>
      </c>
      <c r="V9" s="54"/>
      <c r="W9" s="54"/>
      <c r="X9" s="54"/>
      <c r="Y9" s="54"/>
      <c r="Z9" s="54"/>
      <c r="AA9" s="54"/>
      <c r="AB9" s="54"/>
      <c r="AC9" s="54"/>
      <c r="AD9" s="54"/>
    </row>
    <row r="10" spans="1:30" s="2" customFormat="1" ht="13.05" customHeight="1">
      <c r="A10" s="398" t="str">
        <f>Text!A13</f>
        <v>Bettr. Promotion de culture éco. (IP, BIO)</v>
      </c>
      <c r="B10" s="294"/>
      <c r="C10" s="295"/>
      <c r="D10" s="296"/>
      <c r="E10" s="297"/>
      <c r="F10" s="296">
        <v>200</v>
      </c>
      <c r="G10" s="296"/>
      <c r="H10" s="297"/>
      <c r="I10" s="236">
        <v>200</v>
      </c>
      <c r="J10" s="296"/>
      <c r="K10" s="297"/>
      <c r="L10" s="236">
        <v>200</v>
      </c>
      <c r="M10" s="54"/>
      <c r="U10" s="338" t="str">
        <f>Text!A60</f>
        <v>Sélection menu déroulant ou saisie directe possible</v>
      </c>
      <c r="V10" s="54"/>
      <c r="W10" s="54"/>
      <c r="X10" s="54"/>
      <c r="Y10" s="54"/>
      <c r="Z10" s="54"/>
      <c r="AA10" s="54"/>
      <c r="AB10" s="54"/>
      <c r="AC10" s="54"/>
      <c r="AD10" s="54"/>
    </row>
    <row r="11" spans="1:30" s="2" customFormat="1" ht="13.05" customHeight="1">
      <c r="A11" s="399" t="str">
        <f>Text!A14</f>
        <v>BIO livraison tôt pris en compte dans le prix</v>
      </c>
      <c r="B11" s="298"/>
      <c r="C11" s="299"/>
      <c r="D11" s="300"/>
      <c r="E11" s="301"/>
      <c r="F11" s="302"/>
      <c r="G11" s="300"/>
      <c r="H11" s="301"/>
      <c r="I11" s="238"/>
      <c r="J11" s="300"/>
      <c r="K11" s="301"/>
      <c r="L11" s="238"/>
      <c r="M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</row>
    <row r="12" spans="1:30" s="2" customFormat="1" ht="13.05" customHeight="1">
      <c r="A12" s="398" t="str">
        <f>Text!A274</f>
        <v>Autres contributions</v>
      </c>
      <c r="B12" s="294"/>
      <c r="C12" s="295"/>
      <c r="D12" s="296"/>
      <c r="E12" s="297"/>
      <c r="F12" s="296"/>
      <c r="G12" s="296"/>
      <c r="H12" s="297"/>
      <c r="I12" s="236"/>
      <c r="J12" s="296"/>
      <c r="K12" s="297"/>
      <c r="L12" s="236"/>
      <c r="M12" s="54"/>
      <c r="U12" s="229"/>
      <c r="V12" s="54"/>
      <c r="W12" s="54"/>
      <c r="X12" s="54"/>
      <c r="Y12" s="54"/>
      <c r="Z12" s="54"/>
      <c r="AA12" s="54"/>
      <c r="AB12" s="54"/>
      <c r="AC12" s="54"/>
      <c r="AD12" s="54"/>
    </row>
    <row r="13" spans="1:30" s="23" customFormat="1" ht="13.8">
      <c r="A13" s="307" t="str">
        <f>Text!A15</f>
        <v>Prestation (produit)</v>
      </c>
      <c r="B13" s="304"/>
      <c r="C13" s="305" t="str">
        <f>Text!A55</f>
        <v>dt</v>
      </c>
      <c r="D13" s="306"/>
      <c r="E13" s="306"/>
      <c r="F13" s="306">
        <f>SUM(F8:F12)</f>
        <v>10725</v>
      </c>
      <c r="G13" s="306"/>
      <c r="H13" s="306"/>
      <c r="I13" s="306">
        <f>SUM(I8:I12)</f>
        <v>2300</v>
      </c>
      <c r="J13" s="306"/>
      <c r="K13" s="306"/>
      <c r="L13" s="306">
        <f>SUM(L8:L12)</f>
        <v>2300</v>
      </c>
      <c r="M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</row>
    <row r="14" spans="1:30" s="2" customFormat="1" ht="13.05" customHeight="1">
      <c r="A14" s="55"/>
      <c r="B14" s="54"/>
      <c r="C14" s="50"/>
      <c r="D14" s="56"/>
      <c r="E14" s="57"/>
      <c r="F14" s="312"/>
      <c r="G14" s="56"/>
      <c r="H14" s="57"/>
      <c r="I14" s="312"/>
      <c r="J14" s="56"/>
      <c r="K14" s="57"/>
      <c r="L14" s="312"/>
      <c r="M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</row>
    <row r="15" spans="1:30" s="2" customFormat="1" ht="13.05" customHeight="1">
      <c r="A15" s="55"/>
      <c r="B15" s="54"/>
      <c r="C15" s="50"/>
      <c r="D15" s="56"/>
      <c r="E15" s="57"/>
      <c r="F15" s="312"/>
      <c r="G15" s="56"/>
      <c r="H15" s="57"/>
      <c r="I15" s="312"/>
      <c r="J15" s="56"/>
      <c r="K15" s="57"/>
      <c r="L15" s="312"/>
      <c r="M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</row>
    <row r="16" spans="1:30" s="10" customFormat="1" ht="13.05" customHeight="1">
      <c r="A16" s="376" t="str">
        <f>Text!A16</f>
        <v>Semence non traitée</v>
      </c>
      <c r="B16" s="253"/>
      <c r="C16" s="254" t="str">
        <f>Text!A53</f>
        <v>boîtes</v>
      </c>
      <c r="D16" s="255">
        <v>1.2</v>
      </c>
      <c r="E16" s="256">
        <v>320</v>
      </c>
      <c r="F16" s="292">
        <f>D16*E16</f>
        <v>384</v>
      </c>
      <c r="G16" s="235"/>
      <c r="H16" s="284"/>
      <c r="I16" s="320">
        <f>G16*H16</f>
        <v>0</v>
      </c>
      <c r="J16" s="239"/>
      <c r="K16" s="284"/>
      <c r="L16" s="320">
        <f>J16*K16</f>
        <v>0</v>
      </c>
      <c r="M16" s="54"/>
      <c r="N16" s="54"/>
      <c r="O16" s="54"/>
      <c r="P16" s="54"/>
      <c r="Q16" s="54"/>
      <c r="R16" s="54"/>
      <c r="S16" s="54"/>
      <c r="T16" s="54"/>
      <c r="U16" s="54"/>
      <c r="V16" s="287"/>
      <c r="W16" s="287"/>
      <c r="X16" s="287"/>
      <c r="Y16" s="287"/>
      <c r="Z16" s="287"/>
      <c r="AA16" s="287"/>
      <c r="AB16" s="287"/>
      <c r="AC16" s="287"/>
      <c r="AD16" s="287"/>
    </row>
    <row r="17" spans="1:30" s="10" customFormat="1" ht="13.05" customHeight="1">
      <c r="A17" s="376" t="str">
        <f>Text!A17</f>
        <v>Plantons</v>
      </c>
      <c r="B17" s="257"/>
      <c r="C17" s="258" t="str">
        <f>Text!A54</f>
        <v>pièces</v>
      </c>
      <c r="D17" s="259"/>
      <c r="E17" s="260"/>
      <c r="F17" s="313">
        <f>D17*E17</f>
        <v>0</v>
      </c>
      <c r="G17" s="238"/>
      <c r="H17" s="238"/>
      <c r="I17" s="321">
        <f>G17*H17</f>
        <v>0</v>
      </c>
      <c r="J17" s="240"/>
      <c r="K17" s="238"/>
      <c r="L17" s="321">
        <f>J17*K17</f>
        <v>0</v>
      </c>
      <c r="M17" s="54"/>
      <c r="N17" s="54"/>
      <c r="O17" s="54"/>
      <c r="P17" s="54"/>
      <c r="Q17" s="54"/>
      <c r="R17" s="54"/>
      <c r="S17" s="54"/>
      <c r="T17" s="54"/>
      <c r="U17" s="54"/>
      <c r="V17" s="287"/>
      <c r="W17" s="287"/>
      <c r="X17" s="287"/>
      <c r="Y17" s="287"/>
      <c r="Z17" s="287"/>
      <c r="AA17" s="287"/>
      <c r="AB17" s="287"/>
      <c r="AC17" s="287"/>
      <c r="AD17" s="287"/>
    </row>
    <row r="18" spans="1:30" s="3" customFormat="1" ht="12.75" customHeight="1">
      <c r="A18" s="382" t="str">
        <f>Text!A18</f>
        <v>Total semences/plants</v>
      </c>
      <c r="B18" s="325"/>
      <c r="C18" s="326"/>
      <c r="D18" s="327"/>
      <c r="E18" s="328"/>
      <c r="F18" s="314">
        <f>SUM(F15:F17)</f>
        <v>384</v>
      </c>
      <c r="G18" s="327"/>
      <c r="H18" s="328"/>
      <c r="I18" s="314">
        <f>SUM(I15:I17)</f>
        <v>0</v>
      </c>
      <c r="J18" s="327"/>
      <c r="K18" s="328"/>
      <c r="L18" s="314">
        <f>SUM(L15:L17)</f>
        <v>0</v>
      </c>
      <c r="M18" s="230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</row>
    <row r="19" spans="1:30" s="2" customFormat="1" ht="13.05" customHeight="1">
      <c r="A19" s="58"/>
      <c r="B19" s="54"/>
      <c r="C19" s="50"/>
      <c r="D19" s="59"/>
      <c r="E19" s="57"/>
      <c r="F19" s="315"/>
      <c r="G19" s="59"/>
      <c r="H19" s="57"/>
      <c r="I19" s="315"/>
      <c r="J19" s="59"/>
      <c r="K19" s="57"/>
      <c r="L19" s="315"/>
      <c r="M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</row>
    <row r="20" spans="1:30" s="2" customFormat="1" ht="13.05" customHeight="1">
      <c r="A20" s="383" t="str">
        <f>Text!A19</f>
        <v>Engrais organiques</v>
      </c>
      <c r="B20" s="257"/>
      <c r="C20" s="258" t="str">
        <f>Text!A55</f>
        <v>dt</v>
      </c>
      <c r="D20" s="265">
        <v>350</v>
      </c>
      <c r="E20" s="260">
        <v>0.89</v>
      </c>
      <c r="F20" s="317">
        <f>D20*E20</f>
        <v>311.5</v>
      </c>
      <c r="G20" s="237"/>
      <c r="H20" s="285"/>
      <c r="I20" s="313">
        <f>G20*H20</f>
        <v>0</v>
      </c>
      <c r="J20" s="237"/>
      <c r="K20" s="285"/>
      <c r="L20" s="317">
        <f>J20*K20</f>
        <v>0</v>
      </c>
      <c r="M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</row>
    <row r="21" spans="1:30" s="2" customFormat="1" ht="13.05" customHeight="1" outlineLevel="1">
      <c r="A21" s="389"/>
      <c r="B21" s="390"/>
      <c r="C21" s="387" t="str">
        <f>Text!A56</f>
        <v>kg</v>
      </c>
      <c r="D21" s="263"/>
      <c r="E21" s="264"/>
      <c r="F21" s="316">
        <f t="shared" ref="F21:F24" si="0">D21*E21</f>
        <v>0</v>
      </c>
      <c r="G21" s="236"/>
      <c r="H21" s="236"/>
      <c r="I21" s="296">
        <f t="shared" ref="I21:I24" si="1">G21*H21</f>
        <v>0</v>
      </c>
      <c r="J21" s="236"/>
      <c r="K21" s="236"/>
      <c r="L21" s="296">
        <f t="shared" ref="L21:L24" si="2">ROUND(J21*K21,0)</f>
        <v>0</v>
      </c>
      <c r="M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</row>
    <row r="22" spans="1:30" s="2" customFormat="1" ht="13.05" customHeight="1" outlineLevel="1">
      <c r="A22" s="389"/>
      <c r="B22" s="390"/>
      <c r="C22" s="387" t="str">
        <f>Text!A56</f>
        <v>kg</v>
      </c>
      <c r="D22" s="263"/>
      <c r="E22" s="264"/>
      <c r="F22" s="316">
        <f t="shared" si="0"/>
        <v>0</v>
      </c>
      <c r="G22" s="236"/>
      <c r="H22" s="236"/>
      <c r="I22" s="296">
        <f t="shared" si="1"/>
        <v>0</v>
      </c>
      <c r="J22" s="236"/>
      <c r="K22" s="236"/>
      <c r="L22" s="296">
        <f t="shared" si="2"/>
        <v>0</v>
      </c>
      <c r="M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</row>
    <row r="23" spans="1:30" s="2" customFormat="1" ht="13.05" customHeight="1" outlineLevel="1">
      <c r="A23" s="389"/>
      <c r="B23" s="390"/>
      <c r="C23" s="387" t="str">
        <f>Text!A56</f>
        <v>kg</v>
      </c>
      <c r="D23" s="263"/>
      <c r="E23" s="264"/>
      <c r="F23" s="316">
        <f t="shared" si="0"/>
        <v>0</v>
      </c>
      <c r="G23" s="236"/>
      <c r="H23" s="236"/>
      <c r="I23" s="296">
        <f t="shared" si="1"/>
        <v>0</v>
      </c>
      <c r="J23" s="236"/>
      <c r="K23" s="236"/>
      <c r="L23" s="296">
        <f t="shared" si="2"/>
        <v>0</v>
      </c>
      <c r="M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</row>
    <row r="24" spans="1:30" s="2" customFormat="1" ht="13.05" customHeight="1" outlineLevel="1">
      <c r="A24" s="389"/>
      <c r="B24" s="390"/>
      <c r="C24" s="387" t="str">
        <f>Text!A56</f>
        <v>kg</v>
      </c>
      <c r="D24" s="263"/>
      <c r="E24" s="264"/>
      <c r="F24" s="316">
        <f t="shared" si="0"/>
        <v>0</v>
      </c>
      <c r="G24" s="236"/>
      <c r="H24" s="236"/>
      <c r="I24" s="296">
        <f t="shared" si="1"/>
        <v>0</v>
      </c>
      <c r="J24" s="236"/>
      <c r="K24" s="236"/>
      <c r="L24" s="296">
        <f t="shared" si="2"/>
        <v>0</v>
      </c>
      <c r="M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</row>
    <row r="25" spans="1:30" s="2" customFormat="1" ht="13.05" customHeight="1" outlineLevel="1">
      <c r="A25" s="391"/>
      <c r="B25" s="392"/>
      <c r="C25" s="401" t="str">
        <f>Text!A56</f>
        <v>kg</v>
      </c>
      <c r="D25" s="265"/>
      <c r="E25" s="260"/>
      <c r="F25" s="317">
        <f>D25*E25</f>
        <v>0</v>
      </c>
      <c r="G25" s="237"/>
      <c r="H25" s="237"/>
      <c r="I25" s="313">
        <f>G25*H25</f>
        <v>0</v>
      </c>
      <c r="J25" s="237"/>
      <c r="K25" s="237"/>
      <c r="L25" s="317">
        <f>J25*K25</f>
        <v>0</v>
      </c>
      <c r="M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</row>
    <row r="26" spans="1:30" s="2" customFormat="1" ht="13.05" customHeight="1">
      <c r="A26" s="384" t="str">
        <f>Text!A20</f>
        <v>Total fumure</v>
      </c>
      <c r="B26" s="322"/>
      <c r="C26" s="323"/>
      <c r="D26" s="315"/>
      <c r="E26" s="324"/>
      <c r="F26" s="314">
        <f>SUM(F20:F25)</f>
        <v>311.5</v>
      </c>
      <c r="G26" s="315"/>
      <c r="H26" s="324"/>
      <c r="I26" s="314">
        <f>SUM(I20:I25)</f>
        <v>0</v>
      </c>
      <c r="J26" s="315"/>
      <c r="K26" s="324"/>
      <c r="L26" s="314">
        <f>SUM(L20:L25)</f>
        <v>0</v>
      </c>
      <c r="M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</row>
    <row r="27" spans="1:30" s="2" customFormat="1" ht="13.05" customHeight="1">
      <c r="A27" s="377"/>
      <c r="B27" s="54"/>
      <c r="C27" s="50"/>
      <c r="D27" s="60"/>
      <c r="E27" s="57"/>
      <c r="F27" s="315"/>
      <c r="G27" s="61"/>
      <c r="H27" s="57"/>
      <c r="I27" s="315"/>
      <c r="J27" s="60"/>
      <c r="K27" s="57"/>
      <c r="L27" s="315"/>
      <c r="M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</row>
    <row r="28" spans="1:30" s="2" customFormat="1" ht="13.05" customHeight="1">
      <c r="A28" s="385" t="str">
        <f>Text!A21</f>
        <v>Autres préparations</v>
      </c>
      <c r="B28" s="257"/>
      <c r="C28" s="258" t="str">
        <f>Text!A57</f>
        <v>fois</v>
      </c>
      <c r="D28" s="259"/>
      <c r="E28" s="260"/>
      <c r="F28" s="313">
        <f>D28*E28</f>
        <v>0</v>
      </c>
      <c r="G28" s="240"/>
      <c r="H28" s="240"/>
      <c r="I28" s="313">
        <f t="shared" ref="I28" si="3">G28*H28</f>
        <v>0</v>
      </c>
      <c r="J28" s="240"/>
      <c r="K28" s="240"/>
      <c r="L28" s="313">
        <f t="shared" ref="L28" si="4">J28*K28</f>
        <v>0</v>
      </c>
      <c r="M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</row>
    <row r="29" spans="1:30" s="2" customFormat="1" ht="13.05" customHeight="1" outlineLevel="1">
      <c r="A29" s="393"/>
      <c r="B29" s="390"/>
      <c r="C29" s="387" t="str">
        <f>Text!A57</f>
        <v>fois</v>
      </c>
      <c r="D29" s="266"/>
      <c r="E29" s="264"/>
      <c r="F29" s="296">
        <f t="shared" ref="F29:F32" si="5">D29*E29</f>
        <v>0</v>
      </c>
      <c r="G29" s="241"/>
      <c r="H29" s="241"/>
      <c r="I29" s="296">
        <f t="shared" ref="I29:I33" si="6">G29*H29</f>
        <v>0</v>
      </c>
      <c r="J29" s="243"/>
      <c r="K29" s="243"/>
      <c r="L29" s="296">
        <f t="shared" ref="L29:L33" si="7">J29*K29</f>
        <v>0</v>
      </c>
      <c r="M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</row>
    <row r="30" spans="1:30" s="2" customFormat="1" ht="13.05" customHeight="1" outlineLevel="1">
      <c r="A30" s="393"/>
      <c r="B30" s="390"/>
      <c r="C30" s="387" t="str">
        <f>Text!A57</f>
        <v>fois</v>
      </c>
      <c r="D30" s="266"/>
      <c r="E30" s="264"/>
      <c r="F30" s="296">
        <f t="shared" si="5"/>
        <v>0</v>
      </c>
      <c r="G30" s="241"/>
      <c r="H30" s="241"/>
      <c r="I30" s="296">
        <f t="shared" si="6"/>
        <v>0</v>
      </c>
      <c r="J30" s="243"/>
      <c r="K30" s="243"/>
      <c r="L30" s="296">
        <f t="shared" si="7"/>
        <v>0</v>
      </c>
      <c r="M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</row>
    <row r="31" spans="1:30" s="2" customFormat="1" ht="13.05" customHeight="1" outlineLevel="1">
      <c r="A31" s="393"/>
      <c r="B31" s="390"/>
      <c r="C31" s="387" t="str">
        <f>Text!A57</f>
        <v>fois</v>
      </c>
      <c r="D31" s="266"/>
      <c r="E31" s="264"/>
      <c r="F31" s="296">
        <f t="shared" si="5"/>
        <v>0</v>
      </c>
      <c r="G31" s="241"/>
      <c r="H31" s="241"/>
      <c r="I31" s="296">
        <f t="shared" si="6"/>
        <v>0</v>
      </c>
      <c r="J31" s="243"/>
      <c r="K31" s="243"/>
      <c r="L31" s="296">
        <f t="shared" si="7"/>
        <v>0</v>
      </c>
      <c r="M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</row>
    <row r="32" spans="1:30" s="2" customFormat="1" ht="13.05" customHeight="1" outlineLevel="1">
      <c r="A32" s="393"/>
      <c r="B32" s="390"/>
      <c r="C32" s="387" t="str">
        <f>Text!A57</f>
        <v>fois</v>
      </c>
      <c r="D32" s="267"/>
      <c r="E32" s="264"/>
      <c r="F32" s="296">
        <f t="shared" si="5"/>
        <v>0</v>
      </c>
      <c r="G32" s="242"/>
      <c r="H32" s="242"/>
      <c r="I32" s="296">
        <f t="shared" si="6"/>
        <v>0</v>
      </c>
      <c r="J32" s="242"/>
      <c r="K32" s="242"/>
      <c r="L32" s="296">
        <f t="shared" si="7"/>
        <v>0</v>
      </c>
      <c r="M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</row>
    <row r="33" spans="1:30" s="2" customFormat="1" ht="13.05" customHeight="1" outlineLevel="1">
      <c r="A33" s="394"/>
      <c r="B33" s="392"/>
      <c r="C33" s="388" t="str">
        <f>Text!A57</f>
        <v>fois</v>
      </c>
      <c r="D33" s="259"/>
      <c r="E33" s="260"/>
      <c r="F33" s="313">
        <f>D33*E33</f>
        <v>0</v>
      </c>
      <c r="G33" s="240"/>
      <c r="H33" s="240"/>
      <c r="I33" s="313">
        <f t="shared" si="6"/>
        <v>0</v>
      </c>
      <c r="J33" s="240"/>
      <c r="K33" s="240"/>
      <c r="L33" s="313">
        <f t="shared" si="7"/>
        <v>0</v>
      </c>
      <c r="M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</row>
    <row r="34" spans="1:30" s="2" customFormat="1" ht="13.05" customHeight="1">
      <c r="A34" s="384" t="str">
        <f>Text!A22</f>
        <v>Total protection des plantes</v>
      </c>
      <c r="B34" s="322"/>
      <c r="C34" s="323"/>
      <c r="D34" s="315"/>
      <c r="E34" s="303"/>
      <c r="F34" s="314">
        <f>SUM(F27:F33)</f>
        <v>0</v>
      </c>
      <c r="G34" s="315"/>
      <c r="H34" s="303"/>
      <c r="I34" s="314">
        <f>SUM(I27:I33)</f>
        <v>0</v>
      </c>
      <c r="J34" s="315"/>
      <c r="K34" s="303"/>
      <c r="L34" s="314">
        <f>SUM(L27:L33)</f>
        <v>0</v>
      </c>
      <c r="M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</row>
    <row r="35" spans="1:30" s="2" customFormat="1" ht="13.05" customHeight="1">
      <c r="A35" s="54"/>
      <c r="B35" s="54"/>
      <c r="C35" s="50"/>
      <c r="D35" s="62"/>
      <c r="E35" s="63"/>
      <c r="F35" s="315"/>
      <c r="G35" s="62"/>
      <c r="H35" s="63"/>
      <c r="I35" s="315"/>
      <c r="J35" s="62"/>
      <c r="K35" s="63"/>
      <c r="L35" s="315"/>
      <c r="M35" s="54"/>
      <c r="N35" s="32"/>
      <c r="S35" s="18"/>
      <c r="T35" s="18"/>
      <c r="U35" s="54"/>
      <c r="V35" s="54"/>
      <c r="W35" s="54"/>
      <c r="X35" s="54"/>
      <c r="Y35" s="54"/>
      <c r="Z35" s="54"/>
      <c r="AA35" s="54"/>
      <c r="AB35" s="54"/>
      <c r="AC35" s="54"/>
      <c r="AD35" s="54"/>
    </row>
    <row r="36" spans="1:30" s="2" customFormat="1" ht="13.05" customHeight="1">
      <c r="A36" s="395" t="str">
        <f>Text!A23</f>
        <v>Assurance grêle</v>
      </c>
      <c r="B36" s="54"/>
      <c r="C36" s="50"/>
      <c r="D36" s="62">
        <v>2.1999999999999999E-2</v>
      </c>
      <c r="E36" s="63">
        <f>F8</f>
        <v>8425</v>
      </c>
      <c r="F36" s="315">
        <f>D36*E36</f>
        <v>185.35</v>
      </c>
      <c r="G36" s="249">
        <v>2.1999999999999999E-2</v>
      </c>
      <c r="H36" s="248">
        <f>I8</f>
        <v>0</v>
      </c>
      <c r="I36" s="315">
        <f>G36*H36</f>
        <v>0</v>
      </c>
      <c r="J36" s="249">
        <v>2.1999999999999999E-2</v>
      </c>
      <c r="K36" s="248">
        <f>L8</f>
        <v>0</v>
      </c>
      <c r="L36" s="315">
        <f>J36*K36</f>
        <v>0</v>
      </c>
      <c r="M36" s="54"/>
      <c r="N36" s="32"/>
      <c r="O36" s="18"/>
      <c r="P36" s="18"/>
      <c r="Q36" s="18"/>
      <c r="R36" s="18"/>
      <c r="S36" s="18"/>
      <c r="T36" s="18"/>
      <c r="U36" s="54"/>
      <c r="V36" s="54"/>
      <c r="W36" s="54"/>
      <c r="X36" s="54"/>
      <c r="Y36" s="54"/>
      <c r="Z36" s="54"/>
      <c r="AA36" s="54"/>
      <c r="AB36" s="54"/>
      <c r="AC36" s="54"/>
      <c r="AD36" s="54"/>
    </row>
    <row r="37" spans="1:30" s="2" customFormat="1" ht="13.05" customHeight="1">
      <c r="A37" s="382" t="str">
        <f>Text!A24</f>
        <v>Total charges spécifiques divers</v>
      </c>
      <c r="B37" s="322"/>
      <c r="C37" s="323"/>
      <c r="D37" s="315"/>
      <c r="E37" s="324"/>
      <c r="F37" s="314">
        <f>SUM(F35:F36)</f>
        <v>185.35</v>
      </c>
      <c r="G37" s="315"/>
      <c r="H37" s="324"/>
      <c r="I37" s="314">
        <f>SUM(I35:I36)</f>
        <v>0</v>
      </c>
      <c r="J37" s="315"/>
      <c r="K37" s="324"/>
      <c r="L37" s="314">
        <f>SUM(L35:L36)</f>
        <v>0</v>
      </c>
      <c r="M37" s="54"/>
      <c r="N37" s="32"/>
      <c r="O37" s="18"/>
      <c r="P37" s="18"/>
      <c r="Q37" s="18"/>
      <c r="R37" s="18"/>
      <c r="S37" s="18"/>
      <c r="T37" s="18"/>
      <c r="U37" s="54"/>
      <c r="V37" s="54"/>
      <c r="W37" s="54"/>
      <c r="X37" s="54"/>
      <c r="Y37" s="54"/>
      <c r="Z37" s="54"/>
      <c r="AA37" s="54"/>
      <c r="AB37" s="54"/>
      <c r="AC37" s="54"/>
      <c r="AD37" s="54"/>
    </row>
    <row r="38" spans="1:30" s="2" customFormat="1" ht="5.25" customHeight="1">
      <c r="A38" s="54"/>
      <c r="B38" s="54"/>
      <c r="C38" s="50"/>
      <c r="D38" s="59"/>
      <c r="E38" s="57"/>
      <c r="F38" s="318"/>
      <c r="G38" s="59"/>
      <c r="H38" s="57"/>
      <c r="I38" s="318"/>
      <c r="J38" s="59"/>
      <c r="K38" s="57"/>
      <c r="L38" s="318"/>
      <c r="M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</row>
    <row r="39" spans="1:30" s="22" customFormat="1" ht="13.05" customHeight="1">
      <c r="A39" s="64" t="str">
        <f>Text!A25</f>
        <v>Total coûts spécifiques</v>
      </c>
      <c r="B39" s="64"/>
      <c r="C39" s="65"/>
      <c r="D39" s="66"/>
      <c r="E39" s="66"/>
      <c r="F39" s="319">
        <f>F18+F26+F37</f>
        <v>880.85</v>
      </c>
      <c r="G39" s="66"/>
      <c r="H39" s="66"/>
      <c r="I39" s="319">
        <f>I18+I26+I37</f>
        <v>0</v>
      </c>
      <c r="J39" s="66"/>
      <c r="K39" s="66"/>
      <c r="L39" s="319">
        <f>L18+L26+L37</f>
        <v>0</v>
      </c>
      <c r="M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</row>
    <row r="40" spans="1:30" s="2" customFormat="1" ht="13.8">
      <c r="A40" s="378" t="str">
        <f>Text!A26</f>
        <v>MB comparable</v>
      </c>
      <c r="B40" s="307"/>
      <c r="C40" s="308"/>
      <c r="D40" s="306"/>
      <c r="E40" s="306"/>
      <c r="F40" s="306">
        <f>F13-F39</f>
        <v>9844.15</v>
      </c>
      <c r="G40" s="306"/>
      <c r="H40" s="306"/>
      <c r="I40" s="306">
        <f>I13-I39</f>
        <v>2300</v>
      </c>
      <c r="J40" s="306"/>
      <c r="K40" s="306"/>
      <c r="L40" s="306">
        <f>L13-L39</f>
        <v>2300</v>
      </c>
      <c r="M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</row>
    <row r="41" spans="1:30" s="2" customFormat="1" ht="6.75" customHeight="1">
      <c r="A41" s="54"/>
      <c r="B41" s="67"/>
      <c r="C41" s="68"/>
      <c r="D41" s="69"/>
      <c r="E41" s="70"/>
      <c r="F41" s="329"/>
      <c r="G41" s="69"/>
      <c r="H41" s="70"/>
      <c r="I41" s="329"/>
      <c r="J41" s="69"/>
      <c r="K41" s="70"/>
      <c r="L41" s="329"/>
      <c r="M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</row>
    <row r="42" spans="1:30" s="2" customFormat="1" ht="13.05" customHeight="1">
      <c r="A42" s="396" t="str">
        <f>Text!A27</f>
        <v>Location machines (selon procédé défini)</v>
      </c>
      <c r="B42" s="277"/>
      <c r="C42" s="278"/>
      <c r="D42" s="253"/>
      <c r="E42" s="253"/>
      <c r="F42" s="292"/>
      <c r="G42" s="250"/>
      <c r="H42" s="250"/>
      <c r="I42" s="514">
        <f>'Maschinen-Machines'!F115</f>
        <v>0</v>
      </c>
      <c r="J42" s="250"/>
      <c r="K42" s="250"/>
      <c r="L42" s="234"/>
      <c r="M42" s="54"/>
      <c r="O42" s="6"/>
      <c r="P42" s="30"/>
      <c r="Q42" s="5"/>
      <c r="R42" s="6"/>
      <c r="S42" s="30"/>
      <c r="U42" s="54"/>
      <c r="V42" s="54"/>
      <c r="W42" s="54"/>
      <c r="X42" s="54"/>
      <c r="Y42" s="54"/>
      <c r="Z42" s="54"/>
      <c r="AA42" s="54"/>
      <c r="AB42" s="54"/>
      <c r="AC42" s="54"/>
      <c r="AD42" s="54"/>
    </row>
    <row r="43" spans="1:30" s="2" customFormat="1" ht="13.05" customHeight="1">
      <c r="A43" s="385" t="str">
        <f>Text!A28</f>
        <v>Travaux par tiers (selon procédé défini)</v>
      </c>
      <c r="B43" s="279"/>
      <c r="C43" s="280"/>
      <c r="D43" s="257"/>
      <c r="E43" s="257"/>
      <c r="F43" s="313">
        <v>1263</v>
      </c>
      <c r="G43" s="251"/>
      <c r="H43" s="251"/>
      <c r="I43" s="515">
        <f>'Maschinen-Machines'!F116</f>
        <v>0</v>
      </c>
      <c r="J43" s="251"/>
      <c r="K43" s="251"/>
      <c r="L43" s="237"/>
      <c r="M43" s="54"/>
      <c r="O43" s="33" t="s">
        <v>6</v>
      </c>
      <c r="P43" s="33"/>
      <c r="Q43" s="5"/>
      <c r="R43" s="6"/>
      <c r="S43" s="31"/>
      <c r="U43" s="54"/>
      <c r="V43" s="54"/>
      <c r="W43" s="54"/>
      <c r="X43" s="54"/>
      <c r="Y43" s="54"/>
      <c r="Z43" s="54"/>
      <c r="AA43" s="54"/>
      <c r="AB43" s="54"/>
      <c r="AC43" s="54"/>
      <c r="AD43" s="54"/>
    </row>
    <row r="44" spans="1:30" s="19" customFormat="1" ht="13.05" customHeight="1">
      <c r="A44" s="384" t="str">
        <f>Text!A29</f>
        <v>Total travaux par tiers, location machines</v>
      </c>
      <c r="B44" s="322"/>
      <c r="C44" s="323"/>
      <c r="D44" s="315"/>
      <c r="E44" s="324"/>
      <c r="F44" s="314">
        <f>SUM(F43)</f>
        <v>1263</v>
      </c>
      <c r="G44" s="315"/>
      <c r="H44" s="324"/>
      <c r="I44" s="314">
        <f>SUM(I42:I43)</f>
        <v>0</v>
      </c>
      <c r="J44" s="315"/>
      <c r="K44" s="324"/>
      <c r="L44" s="314">
        <f>SUM(L43)</f>
        <v>0</v>
      </c>
      <c r="M44" s="54"/>
      <c r="U44" s="232"/>
      <c r="V44" s="232"/>
      <c r="W44" s="232"/>
      <c r="X44" s="232"/>
      <c r="Y44" s="232"/>
      <c r="Z44" s="232"/>
      <c r="AA44" s="232"/>
      <c r="AB44" s="232"/>
      <c r="AC44" s="232"/>
      <c r="AD44" s="232"/>
    </row>
    <row r="45" spans="1:30" s="2" customFormat="1" ht="13.8">
      <c r="A45" s="307" t="str">
        <f>Text!A30</f>
        <v>MB planification globale</v>
      </c>
      <c r="B45" s="307"/>
      <c r="C45" s="308"/>
      <c r="D45" s="306"/>
      <c r="E45" s="306"/>
      <c r="F45" s="306">
        <f>F40-F44</f>
        <v>8581.15</v>
      </c>
      <c r="G45" s="306"/>
      <c r="H45" s="306"/>
      <c r="I45" s="306">
        <f>I40-I44</f>
        <v>2300</v>
      </c>
      <c r="J45" s="306"/>
      <c r="K45" s="306"/>
      <c r="L45" s="306">
        <f>L40-L44</f>
        <v>2300</v>
      </c>
      <c r="M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</row>
    <row r="46" spans="1:30" s="2" customFormat="1" ht="6.75" customHeight="1">
      <c r="A46" s="54"/>
      <c r="B46" s="71"/>
      <c r="C46" s="72"/>
      <c r="D46" s="73"/>
      <c r="E46" s="74"/>
      <c r="F46" s="330"/>
      <c r="G46" s="73"/>
      <c r="H46" s="74"/>
      <c r="I46" s="330"/>
      <c r="J46" s="73"/>
      <c r="K46" s="74"/>
      <c r="L46" s="330"/>
      <c r="M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</row>
    <row r="47" spans="1:30" s="2" customFormat="1" ht="13.05" customHeight="1">
      <c r="A47" s="396" t="str">
        <f>Text!A31</f>
        <v>Frais machines variables</v>
      </c>
      <c r="B47" s="268"/>
      <c r="C47" s="269"/>
      <c r="D47" s="253"/>
      <c r="E47" s="253"/>
      <c r="F47" s="292">
        <v>360</v>
      </c>
      <c r="G47" s="250"/>
      <c r="H47" s="250"/>
      <c r="I47" s="514">
        <f>'Maschinen-Machines'!F114</f>
        <v>0</v>
      </c>
      <c r="J47" s="250"/>
      <c r="K47" s="250"/>
      <c r="L47" s="234"/>
      <c r="M47" s="54"/>
      <c r="N47" s="31"/>
      <c r="O47" s="33" t="s">
        <v>7</v>
      </c>
      <c r="P47" s="33"/>
      <c r="Q47" s="7"/>
      <c r="R47" s="8"/>
      <c r="S47" s="31"/>
      <c r="U47" s="54"/>
      <c r="V47" s="54"/>
      <c r="W47" s="54"/>
      <c r="X47" s="54"/>
      <c r="Y47" s="54"/>
      <c r="Z47" s="54"/>
      <c r="AA47" s="54"/>
      <c r="AB47" s="54"/>
      <c r="AC47" s="54"/>
      <c r="AD47" s="54"/>
    </row>
    <row r="48" spans="1:30" s="2" customFormat="1" ht="13.05" hidden="1" customHeight="1">
      <c r="A48" s="386" t="str">
        <f>Text!A32</f>
        <v>Intérêt calculé</v>
      </c>
      <c r="B48" s="270"/>
      <c r="C48" s="271"/>
      <c r="D48" s="261"/>
      <c r="E48" s="261"/>
      <c r="F48" s="296"/>
      <c r="G48" s="272"/>
      <c r="H48" s="272"/>
      <c r="I48" s="236"/>
      <c r="J48" s="272"/>
      <c r="K48" s="272"/>
      <c r="L48" s="236"/>
      <c r="M48" s="54"/>
      <c r="N48" s="31"/>
      <c r="O48" s="13"/>
      <c r="P48" s="31"/>
      <c r="Q48" s="12"/>
      <c r="R48" s="13"/>
      <c r="S48" s="31"/>
      <c r="U48" s="54"/>
      <c r="V48" s="54"/>
      <c r="W48" s="54"/>
      <c r="X48" s="54"/>
      <c r="Y48" s="54"/>
      <c r="Z48" s="54"/>
      <c r="AA48" s="54"/>
      <c r="AB48" s="54"/>
      <c r="AC48" s="54"/>
      <c r="AD48" s="54"/>
    </row>
    <row r="49" spans="1:30" s="2" customFormat="1" ht="13.05" customHeight="1">
      <c r="A49" s="385" t="str">
        <f>Text!A33</f>
        <v>Frais de contrôle et de label</v>
      </c>
      <c r="B49" s="273"/>
      <c r="C49" s="274"/>
      <c r="D49" s="275"/>
      <c r="E49" s="276"/>
      <c r="F49" s="331"/>
      <c r="G49" s="275"/>
      <c r="H49" s="276"/>
      <c r="I49" s="237"/>
      <c r="J49" s="275"/>
      <c r="K49" s="276"/>
      <c r="L49" s="252"/>
      <c r="M49" s="54"/>
      <c r="O49" s="33" t="s">
        <v>8</v>
      </c>
      <c r="P49" s="33"/>
      <c r="U49" s="54"/>
      <c r="V49" s="54"/>
      <c r="W49" s="54"/>
      <c r="X49" s="54"/>
      <c r="Y49" s="54"/>
      <c r="Z49" s="54"/>
      <c r="AA49" s="54"/>
      <c r="AB49" s="54"/>
      <c r="AC49" s="54"/>
      <c r="AD49" s="54"/>
    </row>
    <row r="50" spans="1:30" s="2" customFormat="1" ht="13.8">
      <c r="A50" s="307" t="str">
        <f>Text!A34</f>
        <v>MB</v>
      </c>
      <c r="B50" s="307"/>
      <c r="C50" s="308"/>
      <c r="D50" s="309"/>
      <c r="E50" s="310"/>
      <c r="F50" s="306">
        <f>F45-SUM(F47:F49)</f>
        <v>8221.15</v>
      </c>
      <c r="G50" s="309"/>
      <c r="H50" s="310"/>
      <c r="I50" s="306">
        <f>I45-SUM(I47:I49)</f>
        <v>2300</v>
      </c>
      <c r="J50" s="309"/>
      <c r="K50" s="310"/>
      <c r="L50" s="306">
        <f>L45-SUM(L47:L49)</f>
        <v>2300</v>
      </c>
      <c r="M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</row>
    <row r="51" spans="1:30" s="2" customFormat="1" ht="8.25" customHeight="1">
      <c r="A51" s="379"/>
      <c r="B51" s="54"/>
      <c r="C51" s="50"/>
      <c r="D51" s="48"/>
      <c r="E51" s="48"/>
      <c r="F51" s="303"/>
      <c r="G51" s="9"/>
      <c r="H51" s="9"/>
      <c r="I51" s="303"/>
      <c r="J51" s="9"/>
      <c r="K51" s="9"/>
      <c r="L51" s="303"/>
      <c r="M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</row>
    <row r="52" spans="1:30" s="2" customFormat="1" ht="13.05" customHeight="1">
      <c r="A52" s="397" t="str">
        <f>Text!A35</f>
        <v>Contributions à la surface</v>
      </c>
      <c r="B52" s="54"/>
      <c r="C52" s="50"/>
      <c r="D52" s="48"/>
      <c r="E52" s="48"/>
      <c r="F52" s="303"/>
      <c r="G52" s="9"/>
      <c r="H52" s="9"/>
      <c r="I52" s="303"/>
      <c r="J52" s="9"/>
      <c r="K52" s="9"/>
      <c r="L52" s="303"/>
      <c r="M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</row>
    <row r="53" spans="1:30" s="2" customFormat="1" ht="13.05" customHeight="1">
      <c r="A53" s="396" t="str">
        <f>Text!A36</f>
        <v>Contributions au paysage cultivé</v>
      </c>
      <c r="B53" s="253"/>
      <c r="C53" s="254"/>
      <c r="D53" s="281"/>
      <c r="E53" s="281"/>
      <c r="F53" s="332"/>
      <c r="G53" s="281"/>
      <c r="H53" s="281"/>
      <c r="I53" s="332"/>
      <c r="J53" s="281"/>
      <c r="K53" s="281"/>
      <c r="L53" s="332"/>
      <c r="M53" s="232"/>
      <c r="U53" s="54"/>
      <c r="V53" s="54"/>
      <c r="W53" s="54"/>
      <c r="X53" s="54"/>
      <c r="Y53" s="54"/>
      <c r="Z53" s="54"/>
      <c r="AA53" s="54"/>
      <c r="AB53" s="54"/>
      <c r="AC53" s="54"/>
      <c r="AD53" s="54"/>
    </row>
    <row r="54" spans="1:30" s="2" customFormat="1" ht="13.05" customHeight="1">
      <c r="A54" s="386" t="str">
        <f>Text!A37</f>
        <v>Contrib. à la sécurité de l'appro.</v>
      </c>
      <c r="B54" s="261"/>
      <c r="C54" s="262"/>
      <c r="D54" s="282"/>
      <c r="E54" s="282"/>
      <c r="F54" s="333">
        <v>1000</v>
      </c>
      <c r="G54" s="282"/>
      <c r="H54" s="282"/>
      <c r="I54" s="516">
        <v>1000</v>
      </c>
      <c r="J54" s="282"/>
      <c r="K54" s="282"/>
      <c r="L54" s="516">
        <v>1000</v>
      </c>
      <c r="M54" s="232"/>
      <c r="U54" s="54"/>
      <c r="V54" s="54"/>
      <c r="W54" s="54"/>
      <c r="X54" s="54"/>
      <c r="Y54" s="54"/>
      <c r="Z54" s="54"/>
      <c r="AA54" s="54"/>
      <c r="AB54" s="54"/>
      <c r="AC54" s="54"/>
      <c r="AD54" s="54"/>
    </row>
    <row r="55" spans="1:30" s="2" customFormat="1" ht="13.05" customHeight="1">
      <c r="A55" s="385" t="str">
        <f>Text!A38</f>
        <v>Agriculture biologique (terres ouvertes)</v>
      </c>
      <c r="B55" s="257"/>
      <c r="C55" s="258"/>
      <c r="D55" s="283"/>
      <c r="E55" s="283"/>
      <c r="F55" s="331">
        <v>1200</v>
      </c>
      <c r="G55" s="283"/>
      <c r="H55" s="283"/>
      <c r="I55" s="517">
        <v>1200</v>
      </c>
      <c r="J55" s="283"/>
      <c r="K55" s="283"/>
      <c r="L55" s="517">
        <v>1200</v>
      </c>
      <c r="M55" s="54"/>
      <c r="N55" s="19"/>
      <c r="U55" s="54"/>
      <c r="V55" s="54"/>
      <c r="W55" s="54"/>
      <c r="X55" s="54"/>
      <c r="Y55" s="54"/>
      <c r="Z55" s="54"/>
      <c r="AA55" s="54"/>
      <c r="AB55" s="54"/>
      <c r="AC55" s="54"/>
      <c r="AD55" s="54"/>
    </row>
    <row r="56" spans="1:30" s="19" customFormat="1" ht="13.8">
      <c r="A56" s="307" t="str">
        <f>Text!A39</f>
        <v>MB y compris contributions</v>
      </c>
      <c r="B56" s="307"/>
      <c r="C56" s="308"/>
      <c r="D56" s="309"/>
      <c r="E56" s="310"/>
      <c r="F56" s="306">
        <f>F50+SUM(F53:F55)</f>
        <v>10421.15</v>
      </c>
      <c r="G56" s="309"/>
      <c r="H56" s="310"/>
      <c r="I56" s="306">
        <f>I50+SUM(I53:I55)</f>
        <v>4500</v>
      </c>
      <c r="J56" s="309"/>
      <c r="K56" s="310"/>
      <c r="L56" s="306">
        <f>L50+SUM(L53:L55)</f>
        <v>4500</v>
      </c>
      <c r="M56" s="54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</row>
    <row r="57" spans="1:30" s="19" customFormat="1" ht="6.75" customHeight="1" outlineLevel="1">
      <c r="A57" s="244"/>
      <c r="B57" s="244"/>
      <c r="C57" s="245"/>
      <c r="D57" s="246"/>
      <c r="E57" s="247"/>
      <c r="F57" s="303"/>
      <c r="G57" s="246"/>
      <c r="H57" s="247"/>
      <c r="I57" s="303"/>
      <c r="J57" s="246"/>
      <c r="K57" s="247"/>
      <c r="L57" s="303"/>
      <c r="M57" s="54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</row>
    <row r="58" spans="1:30" s="19" customFormat="1" ht="13.8" outlineLevel="1">
      <c r="A58" s="395" t="str">
        <f>Text!A40</f>
        <v>coûts machines fixes (Amortissement,…)</v>
      </c>
      <c r="B58" s="244"/>
      <c r="C58" s="245"/>
      <c r="D58" s="246"/>
      <c r="E58" s="247"/>
      <c r="F58" s="303"/>
      <c r="G58" s="246"/>
      <c r="H58" s="247"/>
      <c r="I58" s="518">
        <f>'Maschinen-Machines'!G114</f>
        <v>0</v>
      </c>
      <c r="J58" s="246"/>
      <c r="K58" s="247"/>
      <c r="L58" s="236"/>
      <c r="M58" s="54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</row>
    <row r="59" spans="1:30" s="19" customFormat="1" outlineLevel="1">
      <c r="A59" s="386" t="str">
        <f>Text!A41</f>
        <v>Irrigation</v>
      </c>
      <c r="B59" s="270"/>
      <c r="C59" s="271"/>
      <c r="D59" s="261"/>
      <c r="E59" s="261"/>
      <c r="F59" s="296"/>
      <c r="G59" s="272"/>
      <c r="H59" s="272"/>
      <c r="I59" s="236"/>
      <c r="J59" s="272"/>
      <c r="K59" s="272"/>
      <c r="L59" s="236"/>
      <c r="M59" s="54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</row>
    <row r="60" spans="1:30" s="19" customFormat="1" ht="13.8" outlineLevel="1">
      <c r="A60" s="307"/>
      <c r="B60" s="307"/>
      <c r="C60" s="308"/>
      <c r="D60" s="309"/>
      <c r="E60" s="310"/>
      <c r="F60" s="311">
        <f>F56-F58</f>
        <v>10421.15</v>
      </c>
      <c r="G60" s="309"/>
      <c r="H60" s="310"/>
      <c r="I60" s="306">
        <f>I56-I58</f>
        <v>4500</v>
      </c>
      <c r="J60" s="309"/>
      <c r="K60" s="310"/>
      <c r="L60" s="306">
        <f>L56-L58</f>
        <v>4500</v>
      </c>
      <c r="M60" s="54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</row>
    <row r="61" spans="1:30" s="2" customFormat="1" ht="11.1" customHeight="1">
      <c r="A61" s="287"/>
      <c r="B61" s="75"/>
      <c r="C61" s="76"/>
      <c r="D61" s="77"/>
      <c r="E61" s="78"/>
      <c r="F61" s="79"/>
      <c r="G61" s="77"/>
      <c r="H61" s="78"/>
      <c r="I61" s="79"/>
      <c r="J61" s="77"/>
      <c r="K61" s="78"/>
      <c r="L61" s="79"/>
      <c r="M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</row>
    <row r="62" spans="1:30" s="2" customFormat="1" ht="13.05" customHeight="1">
      <c r="A62" s="379" t="str">
        <f>Text!A42</f>
        <v>Autres contributions possibles Fr./ha</v>
      </c>
      <c r="B62" s="80"/>
      <c r="C62" s="81"/>
      <c r="D62" s="59"/>
      <c r="E62" s="82"/>
      <c r="F62" s="83"/>
      <c r="G62" s="59"/>
      <c r="H62" s="82"/>
      <c r="I62" s="83"/>
      <c r="J62" s="59"/>
      <c r="K62" s="82"/>
      <c r="L62" s="83"/>
      <c r="M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</row>
    <row r="63" spans="1:30" s="2" customFormat="1" ht="13.05" customHeight="1">
      <c r="A63" s="380" t="str">
        <f>Text!A43</f>
        <v>Contributions au système de production Fr./ha: non-recours produits phyto. 800, non-recours herbicides 250,</v>
      </c>
      <c r="B63" s="24"/>
      <c r="C63" s="25"/>
      <c r="D63" s="26"/>
      <c r="E63" s="27"/>
      <c r="F63" s="28"/>
      <c r="G63" s="26"/>
      <c r="H63" s="27"/>
      <c r="I63" s="28"/>
      <c r="J63" s="26"/>
      <c r="K63" s="27"/>
      <c r="L63" s="28"/>
      <c r="M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</row>
    <row r="64" spans="1:30" s="2" customFormat="1" ht="13.05" customHeight="1">
      <c r="A64" s="380" t="str">
        <f>Text!A44</f>
        <v xml:space="preserve">Techniques culturales préservant le sol 250, utilisation efficiente de l’azote 100, couverture appropriée du sol 200, </v>
      </c>
      <c r="B64" s="14"/>
      <c r="C64" s="15"/>
      <c r="D64" s="26"/>
      <c r="E64" s="27"/>
      <c r="F64" s="28"/>
      <c r="G64" s="26"/>
      <c r="H64" s="27"/>
      <c r="I64" s="28"/>
      <c r="J64" s="26"/>
      <c r="K64" s="27"/>
      <c r="L64" s="28"/>
      <c r="M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</row>
    <row r="65" spans="1:30" s="2" customFormat="1" ht="13.05" customHeight="1">
      <c r="A65" s="380" t="str">
        <f>Text!A45</f>
        <v>Contribution à la qualité du paysage jusqu'à 360 Fr./ha</v>
      </c>
      <c r="B65" s="14"/>
      <c r="C65" s="15"/>
      <c r="D65" s="26"/>
      <c r="E65" s="27"/>
      <c r="F65" s="28"/>
      <c r="G65" s="26"/>
      <c r="H65" s="27"/>
      <c r="I65" s="28"/>
      <c r="J65" s="26"/>
      <c r="K65" s="27"/>
      <c r="L65" s="28"/>
      <c r="M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</row>
    <row r="66" spans="1:30" s="2" customFormat="1" ht="5.0999999999999996" customHeight="1">
      <c r="A66" s="380"/>
      <c r="B66" s="14"/>
      <c r="C66" s="15"/>
      <c r="D66" s="26"/>
      <c r="E66" s="27"/>
      <c r="F66" s="28"/>
      <c r="G66" s="26"/>
      <c r="H66" s="27"/>
      <c r="I66" s="28"/>
      <c r="J66" s="26"/>
      <c r="K66" s="27"/>
      <c r="L66" s="28"/>
      <c r="M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</row>
    <row r="67" spans="1:30" s="2" customFormat="1" ht="13.05" customHeight="1">
      <c r="A67" s="380" t="str">
        <f>Text!A46</f>
        <v>IP-Suisse : Prime Fr. 60.00 / tonne rendement en sucre</v>
      </c>
      <c r="B67" s="14"/>
      <c r="C67" s="15"/>
      <c r="D67" s="26"/>
      <c r="E67" s="27"/>
      <c r="F67" s="28"/>
      <c r="G67" s="26"/>
      <c r="H67" s="27"/>
      <c r="I67" s="28"/>
      <c r="J67" s="26"/>
      <c r="K67" s="27"/>
      <c r="L67" s="28"/>
      <c r="M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</row>
    <row r="68" spans="1:30" s="2" customFormat="1" ht="6" customHeight="1">
      <c r="A68" s="54"/>
      <c r="B68" s="80"/>
      <c r="C68" s="81"/>
      <c r="D68" s="59"/>
      <c r="E68" s="82"/>
      <c r="F68" s="63"/>
      <c r="G68" s="59"/>
      <c r="H68" s="82"/>
      <c r="I68" s="63"/>
      <c r="J68" s="59"/>
      <c r="K68" s="82"/>
      <c r="L68" s="63"/>
      <c r="M68" s="54"/>
      <c r="N68" s="16"/>
      <c r="P68" s="16"/>
      <c r="U68" s="54"/>
      <c r="V68" s="54"/>
      <c r="W68" s="54"/>
      <c r="X68" s="54"/>
      <c r="Y68" s="54"/>
      <c r="Z68" s="54"/>
      <c r="AA68" s="54"/>
      <c r="AB68" s="54"/>
      <c r="AC68" s="54"/>
      <c r="AD68" s="54"/>
    </row>
    <row r="69" spans="1:30" s="2" customFormat="1" ht="12" customHeight="1">
      <c r="A69" s="381" t="str">
        <f>Text!A47</f>
        <v>Heures de traction</v>
      </c>
      <c r="B69" s="334"/>
      <c r="C69" s="334"/>
      <c r="D69" s="334"/>
      <c r="E69" s="335" t="s">
        <v>9</v>
      </c>
      <c r="F69" s="336">
        <v>16</v>
      </c>
      <c r="G69" s="336"/>
      <c r="H69" s="337"/>
      <c r="I69" s="134">
        <f>'Maschinen-Machines'!I113</f>
        <v>0</v>
      </c>
      <c r="J69" s="337"/>
      <c r="K69" s="337"/>
      <c r="L69" s="286"/>
      <c r="M69" s="54"/>
      <c r="N69" s="4"/>
      <c r="P69" s="4"/>
      <c r="U69" s="54"/>
      <c r="V69" s="54"/>
      <c r="W69" s="54"/>
      <c r="X69" s="54"/>
      <c r="Y69" s="54"/>
      <c r="Z69" s="54"/>
      <c r="AA69" s="54"/>
      <c r="AB69" s="54"/>
      <c r="AC69" s="54"/>
      <c r="AD69" s="54"/>
    </row>
    <row r="70" spans="1:30" s="2" customFormat="1" ht="12" customHeight="1">
      <c r="A70" s="381" t="str">
        <f>Text!A48</f>
        <v>MOh total</v>
      </c>
      <c r="B70" s="334"/>
      <c r="C70" s="334"/>
      <c r="D70" s="334"/>
      <c r="E70" s="335" t="s">
        <v>9</v>
      </c>
      <c r="F70" s="336">
        <v>195</v>
      </c>
      <c r="G70" s="336"/>
      <c r="H70" s="337"/>
      <c r="I70" s="336">
        <f>SUM(I71:I73)</f>
        <v>0</v>
      </c>
      <c r="J70" s="337"/>
      <c r="K70" s="337"/>
      <c r="L70" s="336">
        <f>SUM(L71:L73)</f>
        <v>0</v>
      </c>
      <c r="M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</row>
    <row r="71" spans="1:30" s="2" customFormat="1" ht="12" customHeight="1">
      <c r="A71" s="381" t="str">
        <f>Text!A49</f>
        <v xml:space="preserve">   dont M &amp; T*</v>
      </c>
      <c r="B71" s="334"/>
      <c r="C71" s="334"/>
      <c r="D71" s="334"/>
      <c r="E71" s="335" t="s">
        <v>9</v>
      </c>
      <c r="F71" s="336">
        <v>30</v>
      </c>
      <c r="G71" s="336"/>
      <c r="H71" s="337"/>
      <c r="I71" s="134">
        <f>'Maschinen-Machines'!J114</f>
        <v>0</v>
      </c>
      <c r="J71" s="337"/>
      <c r="K71" s="337"/>
      <c r="L71" s="286"/>
      <c r="M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</row>
    <row r="72" spans="1:30" s="2" customFormat="1" ht="12" customHeight="1">
      <c r="A72" s="381" t="str">
        <f>Text!A50</f>
        <v xml:space="preserve">   dont mise en culture et soins</v>
      </c>
      <c r="B72" s="334"/>
      <c r="C72" s="334"/>
      <c r="D72" s="334"/>
      <c r="E72" s="335" t="s">
        <v>9</v>
      </c>
      <c r="F72" s="336">
        <v>160</v>
      </c>
      <c r="G72" s="336"/>
      <c r="H72" s="337"/>
      <c r="I72" s="134">
        <f>'Maschinen-Machines'!J115</f>
        <v>0</v>
      </c>
      <c r="J72" s="337"/>
      <c r="K72" s="337"/>
      <c r="L72" s="286"/>
      <c r="M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</row>
    <row r="73" spans="1:30" s="2" customFormat="1" ht="12" customHeight="1">
      <c r="A73" s="381" t="str">
        <f>Text!A51</f>
        <v xml:space="preserve">   dont récolte</v>
      </c>
      <c r="B73" s="334"/>
      <c r="C73" s="334"/>
      <c r="D73" s="334"/>
      <c r="E73" s="335" t="s">
        <v>9</v>
      </c>
      <c r="F73" s="336">
        <v>5</v>
      </c>
      <c r="G73" s="336"/>
      <c r="H73" s="337"/>
      <c r="I73" s="134">
        <f>'Maschinen-Machines'!J116</f>
        <v>0</v>
      </c>
      <c r="J73" s="337"/>
      <c r="K73" s="337"/>
      <c r="L73" s="286"/>
      <c r="M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</row>
    <row r="74" spans="1:30" s="2" customFormat="1" ht="12" customHeight="1">
      <c r="A74" s="54" t="str">
        <f>Text!A52</f>
        <v>*Management et travaux spéciaux</v>
      </c>
      <c r="B74" s="54"/>
      <c r="C74" s="50"/>
      <c r="D74" s="54"/>
      <c r="E74" s="54"/>
      <c r="F74" s="54"/>
      <c r="G74" s="54"/>
      <c r="H74" s="54"/>
      <c r="I74" s="54"/>
      <c r="J74" s="54"/>
      <c r="K74" s="54"/>
      <c r="L74" s="54"/>
      <c r="M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</row>
    <row r="75" spans="1:30" s="2" customFormat="1" ht="12" customHeight="1">
      <c r="A75" s="378" t="str">
        <f>Text!A234</f>
        <v>MB horaire</v>
      </c>
      <c r="B75" s="307"/>
      <c r="C75" s="308"/>
      <c r="D75" s="306"/>
      <c r="E75" s="335" t="s">
        <v>76</v>
      </c>
      <c r="F75" s="513">
        <f>F60/F70</f>
        <v>53.441794871794869</v>
      </c>
      <c r="G75" s="306"/>
      <c r="H75" s="306"/>
      <c r="I75" s="513" t="str">
        <f>IF(I70=0,"",I60/I70)</f>
        <v/>
      </c>
      <c r="J75" s="306"/>
      <c r="K75" s="306"/>
      <c r="L75" s="513" t="str">
        <f>IF(L70=0,"",L60/L70)</f>
        <v/>
      </c>
      <c r="M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</row>
  </sheetData>
  <mergeCells count="4">
    <mergeCell ref="G5:I5"/>
    <mergeCell ref="J5:L5"/>
    <mergeCell ref="D5:F5"/>
    <mergeCell ref="K2:L2"/>
  </mergeCells>
  <printOptions gridLines="1"/>
  <pageMargins left="1.1811023622047245" right="0.78740157480314965" top="1.5748031496062993" bottom="0.78740157480314965" header="0.51181102362204722" footer="0.51181102362204722"/>
  <pageSetup paperSize="9" scale="71" orientation="portrait" r:id="rId1"/>
  <headerFooter alignWithMargins="0">
    <oddHeader>&amp;L&amp;G</oddHeader>
    <oddFooter>&amp;L&amp;8&amp;D / &amp;F /&amp;R&amp;8&amp;P/&amp;N</oddFooter>
  </headerFooter>
  <rowBreaks count="1" manualBreakCount="1">
    <brk id="74" max="11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BC8E642-A22E-4053-B2AF-CA774A24DF65}">
          <x14:formula1>
            <xm:f>Text!$B$2:$C$2</xm:f>
          </x14:formula1>
          <xm:sqref>K2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3C085-9AC9-4C1A-A46E-BAD42B16AE0C}">
  <sheetPr codeName="Feuil3">
    <tabColor theme="6" tint="-0.499984740745262"/>
  </sheetPr>
  <dimension ref="A1:Q118"/>
  <sheetViews>
    <sheetView topLeftCell="A53" zoomScaleNormal="100" zoomScaleSheetLayoutView="50" zoomScalePageLayoutView="40" workbookViewId="0">
      <selection activeCell="C65" sqref="C65"/>
    </sheetView>
  </sheetViews>
  <sheetFormatPr baseColWidth="10" defaultColWidth="0" defaultRowHeight="13.2" zeroHeight="1"/>
  <cols>
    <col min="1" max="1" width="11.44140625" customWidth="1"/>
    <col min="2" max="2" width="28.44140625" style="37" bestFit="1" customWidth="1"/>
    <col min="3" max="3" width="29.44140625" style="38" customWidth="1"/>
    <col min="4" max="4" width="26.77734375" style="38" customWidth="1"/>
    <col min="5" max="5" width="12.21875" style="39" customWidth="1"/>
    <col min="6" max="6" width="18.77734375" style="39" customWidth="1"/>
    <col min="7" max="7" width="16.5546875" customWidth="1"/>
    <col min="8" max="8" width="4.21875" customWidth="1"/>
    <col min="9" max="10" width="8.5546875" customWidth="1"/>
    <col min="11" max="11" width="24.21875" hidden="1" customWidth="1"/>
    <col min="12" max="12" width="11.44140625" customWidth="1"/>
    <col min="13" max="13" width="52.44140625" bestFit="1" customWidth="1"/>
    <col min="14" max="14" width="11.44140625" customWidth="1"/>
    <col min="15" max="17" width="0" hidden="1" customWidth="1"/>
    <col min="18" max="16384" width="11.44140625" hidden="1"/>
  </cols>
  <sheetData>
    <row r="1" spans="1:14">
      <c r="A1" s="140"/>
      <c r="B1" s="141"/>
      <c r="C1" s="142"/>
      <c r="D1" s="142"/>
      <c r="E1" s="143"/>
      <c r="F1" s="143"/>
      <c r="G1" s="140"/>
      <c r="H1" s="140"/>
      <c r="I1" s="140"/>
      <c r="J1" s="140"/>
      <c r="K1" s="140"/>
      <c r="L1" s="140"/>
      <c r="M1" s="140"/>
      <c r="N1" s="140"/>
    </row>
    <row r="2" spans="1:14" ht="30">
      <c r="A2" s="407" t="str">
        <f>Text!A62</f>
        <v>Procédes culturaux et travaux manuel</v>
      </c>
      <c r="B2" s="141"/>
      <c r="C2" s="142"/>
      <c r="D2" s="142"/>
      <c r="E2" s="143"/>
      <c r="F2" s="143"/>
      <c r="G2" s="140"/>
      <c r="H2" s="140"/>
      <c r="I2" s="140"/>
      <c r="J2" s="140"/>
      <c r="K2" s="140"/>
      <c r="L2" s="140"/>
      <c r="M2" s="140"/>
      <c r="N2" s="140"/>
    </row>
    <row r="3" spans="1:14">
      <c r="A3" s="140"/>
      <c r="B3" s="141"/>
      <c r="C3" s="142"/>
      <c r="D3" s="142"/>
      <c r="E3" s="143"/>
      <c r="F3" s="143"/>
      <c r="G3" s="140"/>
      <c r="H3" s="140"/>
      <c r="I3" s="140"/>
      <c r="J3" s="140"/>
      <c r="K3" s="140"/>
      <c r="L3" s="140"/>
      <c r="M3" s="140"/>
      <c r="N3" s="140"/>
    </row>
    <row r="4" spans="1:14" s="34" customFormat="1" ht="51" customHeight="1">
      <c r="A4" s="408"/>
      <c r="B4" s="409"/>
      <c r="C4" s="410" t="str">
        <f>Text!A91</f>
        <v>kw / type de machine</v>
      </c>
      <c r="D4" s="411" t="str">
        <f>Text!A92</f>
        <v>Utilisation (propre P / location L / Entreprise E)</v>
      </c>
      <c r="E4" s="412" t="str">
        <f>Text!A93</f>
        <v>Quantité</v>
      </c>
      <c r="F4" s="412" t="str">
        <f>Text!A94</f>
        <v>Coûts variables
(ou Entreprise)</v>
      </c>
      <c r="G4" s="412" t="str">
        <f>Text!A95</f>
        <v>Coûts fixes</v>
      </c>
      <c r="H4" s="340"/>
      <c r="I4" s="413" t="str">
        <f>Text!A96</f>
        <v>Th</v>
      </c>
      <c r="J4" s="415" t="str">
        <f>Text!A97</f>
        <v>MOh</v>
      </c>
      <c r="K4" s="145"/>
      <c r="L4" s="145"/>
      <c r="M4" s="145"/>
      <c r="N4" s="145"/>
    </row>
    <row r="5" spans="1:14">
      <c r="A5" s="146" t="str">
        <f>Text!A63</f>
        <v>Travail du sol</v>
      </c>
      <c r="B5" s="141"/>
      <c r="C5" s="142"/>
      <c r="D5" s="142"/>
      <c r="E5" s="143"/>
      <c r="F5" s="143"/>
      <c r="G5" s="143"/>
      <c r="H5" s="140"/>
      <c r="I5" s="140"/>
      <c r="J5" s="143"/>
      <c r="K5" s="140"/>
      <c r="L5" s="140"/>
      <c r="M5" s="233" t="str">
        <f>Text!A58</f>
        <v>Saisie possible</v>
      </c>
      <c r="N5" s="140"/>
    </row>
    <row r="6" spans="1:14">
      <c r="A6" s="199"/>
      <c r="B6" s="168" t="str">
        <f>Text!A$74</f>
        <v>tracteur</v>
      </c>
      <c r="C6" s="169"/>
      <c r="D6" s="519"/>
      <c r="E6" s="357">
        <v>1</v>
      </c>
      <c r="F6" s="170" t="str">
        <f>IF(ISERROR(IF(D6=prop,VLOOKUP(K6,tracCou,5),IF(D6=loc,VLOOKUP(K6,tracCou,7),0))*IF(D7=entr,0,VLOOKUP(K7,travSolCou,10,0))),"",IF(D6=prop,VLOOKUP(K6,tracCou,5),IF(D6=loc,VLOOKUP(K6,tracCou,7),0))*IF(D7=entr,0,VLOOKUP(K7,travSolCou,10,0)))</f>
        <v/>
      </c>
      <c r="G6" s="526" t="str">
        <f>IF(ISERROR(IF(D6=prop,VLOOKUP(K6,tracCou,6),0)*IF(D7=entr,0,VLOOKUP(K7,travSolCou,10,0))),"",IF(D6=prop,VLOOKUP(K6,tracCou,6),0)*IF(D7=entr,0,VLOOKUP(K7,travSolCou,10,0)))</f>
        <v/>
      </c>
      <c r="H6" s="217"/>
      <c r="I6" s="345"/>
      <c r="J6" s="532"/>
      <c r="K6" s="140" t="str">
        <f>IF(ISERROR(INDEX(ntrac,MATCH('Maschinen-Machines'!C6,tract,0),1)),"",INDEX(ntrac,MATCH('Maschinen-Machines'!C6,tract,0),1))</f>
        <v/>
      </c>
      <c r="L6" s="140"/>
      <c r="M6" s="289" t="str">
        <f>Text!A59</f>
        <v>Saisie directe et écrasement formules ou valeurs possible</v>
      </c>
      <c r="N6" s="140"/>
    </row>
    <row r="7" spans="1:14">
      <c r="A7" s="36"/>
      <c r="B7" s="156" t="str">
        <f>Text!A$75</f>
        <v>machine</v>
      </c>
      <c r="C7" s="157"/>
      <c r="D7" s="520"/>
      <c r="E7" s="358">
        <v>1</v>
      </c>
      <c r="F7" s="158" t="str">
        <f>IF(ISERROR(IF(D7=prop,VLOOKUP(K7,travSolCou,6,0),IF(D7=loc,VLOOKUP(K7,travSolCou,7,0),IF(D7=entr,VLOOKUP(K7,travSolCou,11,0),"")))),"",IF(D7=prop,VLOOKUP(K7,travSolCou,6,0),IF(D7=loc,VLOOKUP(K7,travSolCou,7,0),IF(D7=entr,VLOOKUP(K7,travSolCou,11,0),""))))</f>
        <v/>
      </c>
      <c r="G7" s="527" t="str">
        <f>IF(ISERROR(IF(D7=prop,VLOOKUP(K7,travSolCou,8),"")),"",IF(D7=prop,VLOOKUP(K7,travSolCou,8),""))</f>
        <v/>
      </c>
      <c r="H7" s="218"/>
      <c r="I7" s="159" t="str">
        <f>IF(ISERROR(IF(OR(D7=prop,D7=loc),VLOOKUP(K7,travSolCou,10),"")),"",IF(OR(D7=prop,D7=loc),VLOOKUP(K7,travSolCou,10),""))</f>
        <v/>
      </c>
      <c r="J7" s="527" t="str">
        <f>IF(ISERROR(IF(OR(D7=prop,D7=loc),VLOOKUP(K7,travSolCou,9),"")),"",IF(OR(D7=prop,D7=loc),VLOOKUP(K7,travSolCou,9),""))</f>
        <v/>
      </c>
      <c r="K7" s="140" t="str">
        <f>IF(ISERROR(INDEX(nTravsol,MATCH(C7,travsol,0),1)),"",INDEX(nTravsol,MATCH(C7,travsol,0),1))</f>
        <v/>
      </c>
      <c r="L7" s="140"/>
      <c r="M7" s="338" t="str">
        <f>Text!A60</f>
        <v>Sélection menu déroulant ou saisie directe possible</v>
      </c>
      <c r="N7" s="140"/>
    </row>
    <row r="8" spans="1:14">
      <c r="A8" s="36"/>
      <c r="B8" s="168" t="str">
        <f>Text!A$74</f>
        <v>tracteur</v>
      </c>
      <c r="C8" s="169" t="s">
        <v>1</v>
      </c>
      <c r="D8" s="519"/>
      <c r="E8" s="357">
        <v>1</v>
      </c>
      <c r="F8" s="170" t="str">
        <f>IF(ISERROR(IF(D8=prop,VLOOKUP(K8,tracCou,5),IF(D8=loc,VLOOKUP(K8,tracCou,7),0))*IF(D9=entr,0,VLOOKUP(K9,travSolCou,10,0))),"",IF(D8=prop,VLOOKUP(K8,tracCou,5),IF(D8=loc,VLOOKUP(K8,tracCou,7),0))*IF(D9=entr,0,VLOOKUP(K9,travSolCou,10,0)))</f>
        <v/>
      </c>
      <c r="G8" s="526" t="str">
        <f>IF(ISERROR(IF(D8=prop,VLOOKUP(K8,tracCou,6),0)*IF(D9=loc,0,VLOOKUP(K9,travSolCou,10,0))),"",IF(D8=prop,VLOOKUP(K8,tracCou,6),0)*IF(D9=loc,0,VLOOKUP(K9,travSolCou,10,0)))</f>
        <v/>
      </c>
      <c r="H8" s="217"/>
      <c r="I8" s="345"/>
      <c r="J8" s="532"/>
      <c r="K8" s="140" t="str">
        <f>IF(ISERROR(INDEX(ntrac,MATCH('Maschinen-Machines'!C8,tract,0),1)),"",INDEX(ntrac,MATCH('Maschinen-Machines'!C8,tract,0),1))</f>
        <v/>
      </c>
      <c r="L8" s="140"/>
      <c r="M8" s="140"/>
      <c r="N8" s="140"/>
    </row>
    <row r="9" spans="1:14">
      <c r="A9" s="36"/>
      <c r="B9" s="156" t="str">
        <f>Text!A$75</f>
        <v>machine</v>
      </c>
      <c r="C9" s="157"/>
      <c r="D9" s="520"/>
      <c r="E9" s="358">
        <v>1</v>
      </c>
      <c r="F9" s="158" t="str">
        <f>IF(ISERROR(IF(D9=prop,VLOOKUP(K9,travSolCou,6,0),IF(D9=loc,VLOOKUP(K9,travSolCou,7,0),IF(D9=entr,VLOOKUP(K9,travSolCou,11,0),"")))),"",IF(D9=prop,VLOOKUP(K9,travSolCou,6,0),IF(D9=loc,VLOOKUP(K9,travSolCou,7,0),IF(D9=entr,VLOOKUP(K9,travSolCou,11,0),""))))</f>
        <v/>
      </c>
      <c r="G9" s="527" t="str">
        <f>IF(ISERROR(IF(D9=prop,VLOOKUP(K9,travSolCou,8),"")),"",IF(D9=prop,VLOOKUP(K9,travSolCou,8),""))</f>
        <v/>
      </c>
      <c r="H9" s="218"/>
      <c r="I9" s="159" t="str">
        <f>IF(ISERROR(IF(OR(D9=prop,D9=loc),VLOOKUP(K9,travSolCou,10),"")),"",IF(OR(D9=prop,D9=loc),VLOOKUP(K9,travSolCou,10),""))</f>
        <v/>
      </c>
      <c r="J9" s="527" t="str">
        <f>IF(ISERROR(IF(OR(D9=prop,D9=loc),VLOOKUP(K9,travSolCou,9),"")),"",IF(OR(D9=prop,D9=loc),VLOOKUP(K9,travSolCou,9),""))</f>
        <v/>
      </c>
      <c r="K9" s="140" t="str">
        <f>IF(ISERROR(INDEX(nTravsol,MATCH(C9,travsol,0),1)),"",INDEX(nTravsol,MATCH(C9,travsol,0),1))</f>
        <v/>
      </c>
      <c r="L9" s="140"/>
      <c r="M9" s="140"/>
      <c r="N9" s="140"/>
    </row>
    <row r="10" spans="1:14">
      <c r="A10" s="36"/>
      <c r="B10" s="148" t="str">
        <f>Text!A$74</f>
        <v>tracteur</v>
      </c>
      <c r="C10" s="149"/>
      <c r="D10" s="521"/>
      <c r="E10" s="357">
        <v>1</v>
      </c>
      <c r="F10" s="170" t="str">
        <f>IF(ISERROR(IF(D10=prop,VLOOKUP(K10,tracCou,5),IF(D10=loc,VLOOKUP(K10,tracCou,7),0))*IF(D11=entr,0,VLOOKUP(K11,travSolCou,10,0))),"",IF(D10=prop,VLOOKUP(K10,tracCou,5),IF(D10=loc,VLOOKUP(K10,tracCou,7),0))*IF(D11=entr,0,VLOOKUP(K11,travSolCou,10,0)))</f>
        <v/>
      </c>
      <c r="G10" s="526" t="str">
        <f>IF(ISERROR(IF(D10=prop,VLOOKUP(K10,tracCou,6),0)*IF(D11=loc,0,VLOOKUP(K11,travSolCou,10,0))),"",IF(D10=prop,VLOOKUP(K10,tracCou,6),0)*IF(D11=loc,0,VLOOKUP(K11,travSolCou,10,0)))</f>
        <v/>
      </c>
      <c r="H10" s="341"/>
      <c r="I10" s="346"/>
      <c r="J10" s="533"/>
      <c r="K10" s="140" t="str">
        <f>IF(ISERROR(INDEX(ntrac,MATCH('Maschinen-Machines'!C10,tract,0),1)),"",INDEX(ntrac,MATCH('Maschinen-Machines'!C10,tract,0),1))</f>
        <v/>
      </c>
      <c r="L10" s="140"/>
      <c r="M10" s="140"/>
      <c r="N10" s="140"/>
    </row>
    <row r="11" spans="1:14" ht="13.8" thickBot="1">
      <c r="A11" s="198"/>
      <c r="B11" s="155" t="str">
        <f>Text!A$75</f>
        <v>machine</v>
      </c>
      <c r="C11" s="157"/>
      <c r="D11" s="522"/>
      <c r="E11" s="358">
        <v>1</v>
      </c>
      <c r="F11" s="158" t="str">
        <f>IF(ISERROR(IF(D11=prop,VLOOKUP(K11,travSolCou,6,0),IF(D11=loc,VLOOKUP(K11,travSolCou,7,0),IF(D11=entr,VLOOKUP(K11,travSolCou,11,0),"")))),"",IF(D11=prop,VLOOKUP(K11,travSolCou,6,0),IF(D11=loc,VLOOKUP(K11,travSolCou,7,0),IF(D11=entr,VLOOKUP(K11,travSolCou,11,0),""))))</f>
        <v/>
      </c>
      <c r="G11" s="527" t="str">
        <f>IF(ISERROR(IF(D11=prop,VLOOKUP(K11,travSolCou,8),"")),"",IF(D11=prop,VLOOKUP(K11,travSolCou,8),""))</f>
        <v/>
      </c>
      <c r="H11" s="342"/>
      <c r="I11" s="159" t="str">
        <f>IF(ISERROR(IF(OR(D11=prop,D11=loc),VLOOKUP(K11,travSolCou,10),"")),"",IF(OR(D11=prop,D11=loc),VLOOKUP(K11,travSolCou,10),""))</f>
        <v/>
      </c>
      <c r="J11" s="527" t="str">
        <f>IF(ISERROR(IF(OR(D11=prop,D11=loc),VLOOKUP(K11,travSolCou,9),"")),"",IF(OR(D11=prop,D11=loc),VLOOKUP(K11,travSolCou,9),""))</f>
        <v/>
      </c>
      <c r="K11" s="140" t="str">
        <f>IF(ISERROR(INDEX(nTravsol,MATCH(C11,travsol,0),1)),"",INDEX(nTravsol,MATCH(C11,travsol,0),1))</f>
        <v/>
      </c>
      <c r="L11" s="140"/>
      <c r="M11" s="140"/>
      <c r="N11" s="140"/>
    </row>
    <row r="12" spans="1:14">
      <c r="A12" s="160" t="str">
        <f>Text!A$98</f>
        <v>Total</v>
      </c>
      <c r="B12" s="161"/>
      <c r="C12" s="161"/>
      <c r="D12" s="161"/>
      <c r="E12" s="359">
        <v>1</v>
      </c>
      <c r="F12" s="162">
        <f>SUM(F6:F11)</f>
        <v>0</v>
      </c>
      <c r="G12" s="162">
        <f t="shared" ref="G12:J12" si="0">SUM(G6:G11)</f>
        <v>0</v>
      </c>
      <c r="H12" s="219"/>
      <c r="I12" s="162">
        <f t="shared" ref="I12" si="1">SUM(I6:I11)</f>
        <v>0</v>
      </c>
      <c r="J12" s="162">
        <f t="shared" si="0"/>
        <v>0</v>
      </c>
      <c r="K12" s="140"/>
      <c r="L12" s="140"/>
      <c r="M12" s="140"/>
      <c r="N12" s="140"/>
    </row>
    <row r="13" spans="1:14">
      <c r="A13" s="136" t="str">
        <f>Text!A$99</f>
        <v>dont propre</v>
      </c>
      <c r="B13" s="137"/>
      <c r="C13" s="137"/>
      <c r="D13" s="138" t="str">
        <f>prop</f>
        <v>P</v>
      </c>
      <c r="E13" s="360">
        <v>1</v>
      </c>
      <c r="F13" s="139">
        <f>SUMIF($D6:$D11,$D13,F6:F11)</f>
        <v>0</v>
      </c>
      <c r="G13" s="139">
        <f>SUMIF($D6:$D11,$D13,G6:G11)</f>
        <v>0</v>
      </c>
      <c r="H13" s="220"/>
      <c r="I13" s="135"/>
      <c r="J13" s="534"/>
      <c r="K13" s="140"/>
      <c r="L13" s="140"/>
      <c r="M13" s="140"/>
      <c r="N13" s="140"/>
    </row>
    <row r="14" spans="1:14">
      <c r="A14" s="136" t="str">
        <f>Text!A$100</f>
        <v>dont location</v>
      </c>
      <c r="B14" s="137"/>
      <c r="C14" s="137"/>
      <c r="D14" s="138" t="str">
        <f>loc</f>
        <v>L</v>
      </c>
      <c r="E14" s="360">
        <v>1</v>
      </c>
      <c r="F14" s="139">
        <f>SUMIF($D6:$D11,$D14,F6:F11)</f>
        <v>0</v>
      </c>
      <c r="G14" s="139">
        <f>SUMIF($D6:$D11,$D14,G6:G11)</f>
        <v>0</v>
      </c>
      <c r="H14" s="220"/>
      <c r="I14" s="135"/>
      <c r="J14" s="534"/>
      <c r="K14" s="140"/>
      <c r="L14" s="140"/>
      <c r="M14" s="140"/>
      <c r="N14" s="140"/>
    </row>
    <row r="15" spans="1:14">
      <c r="A15" s="136" t="str">
        <f>Text!A$101</f>
        <v>dont entreprise</v>
      </c>
      <c r="B15" s="137"/>
      <c r="C15" s="137"/>
      <c r="D15" s="138" t="str">
        <f>entr</f>
        <v>E</v>
      </c>
      <c r="E15" s="360">
        <v>1</v>
      </c>
      <c r="F15" s="139">
        <f>SUMIF($D6:$D11,$D15,F6:F11)</f>
        <v>0</v>
      </c>
      <c r="G15" s="139">
        <f>SUMIF($D6:$D11,$D15,G6:G11)</f>
        <v>0</v>
      </c>
      <c r="H15" s="220"/>
      <c r="I15" s="135"/>
      <c r="J15" s="534"/>
      <c r="K15" s="140"/>
      <c r="L15" s="140"/>
      <c r="M15" s="140"/>
      <c r="N15" s="140"/>
    </row>
    <row r="16" spans="1:14">
      <c r="D16" s="128"/>
      <c r="E16" s="347"/>
      <c r="G16" s="39"/>
      <c r="H16" s="140"/>
      <c r="J16" s="39"/>
      <c r="K16" s="140"/>
      <c r="L16" s="140"/>
      <c r="M16" s="140"/>
      <c r="N16" s="140"/>
    </row>
    <row r="17" spans="1:14">
      <c r="A17" s="35" t="str">
        <f>Text!A64</f>
        <v>Préparation du lit de semence</v>
      </c>
      <c r="B17" s="40"/>
      <c r="C17" s="41"/>
      <c r="D17" s="129"/>
      <c r="E17" s="348"/>
      <c r="F17" s="42"/>
      <c r="G17" s="42"/>
      <c r="H17" s="140"/>
      <c r="I17" s="36"/>
      <c r="J17" s="42"/>
      <c r="K17" s="140"/>
      <c r="L17" s="140"/>
      <c r="M17" s="140"/>
      <c r="N17" s="140"/>
    </row>
    <row r="18" spans="1:14">
      <c r="A18" s="199"/>
      <c r="B18" s="168" t="str">
        <f>Text!A$74</f>
        <v>tracteur</v>
      </c>
      <c r="C18" s="169"/>
      <c r="D18" s="519"/>
      <c r="E18" s="357">
        <v>1</v>
      </c>
      <c r="F18" s="170" t="str">
        <f>IF(ISERROR(IF(D18=prop,VLOOKUP(K18,tracCou,5),IF(D18=loc,VLOOKUP(K18,tracCou,7),0))*IF(D19=entr,0,VLOOKUP(K19,LitSemCou,10,0))),"",IF(D18=prop,VLOOKUP(K18,tracCou,5),IF(D18=loc,VLOOKUP(K18,tracCou,7),0))*IF(D19=entr,0,VLOOKUP(K19,LitSemCou,10,0)))</f>
        <v/>
      </c>
      <c r="G18" s="526" t="str">
        <f>IF(ISERROR(IF(D18=prop,VLOOKUP(K18,tracCou,6),0)*IF(D19=entr,0,VLOOKUP(K19,LitSemCou,10,0))),"",IF(D18=prop,VLOOKUP(K18,tracCou,6),0)*IF(D19=entr,0,VLOOKUP(K19,LitSemCou,10,0)))</f>
        <v/>
      </c>
      <c r="H18" s="217"/>
      <c r="I18" s="345"/>
      <c r="J18" s="532"/>
      <c r="K18" s="140" t="str">
        <f>IF(ISERROR(INDEX(ntrac,MATCH('Maschinen-Machines'!C18,tract,0),1)),"",INDEX(ntrac,MATCH('Maschinen-Machines'!C18,tract,0),1))</f>
        <v/>
      </c>
      <c r="L18" s="140"/>
      <c r="M18" s="140"/>
      <c r="N18" s="140"/>
    </row>
    <row r="19" spans="1:14">
      <c r="A19" s="36"/>
      <c r="B19" s="150" t="str">
        <f>Text!A$75</f>
        <v>machine</v>
      </c>
      <c r="C19" s="151"/>
      <c r="D19" s="523"/>
      <c r="E19" s="362">
        <v>1</v>
      </c>
      <c r="F19" s="152" t="str">
        <f>IF(ISERROR(IF(D19=prop,VLOOKUP(K19,LitSemCou,6,0),IF(D19=loc,VLOOKUP(K19,LitSemCou,7,0),IF(D19=entr,VLOOKUP(K19,LitSemCou,11,0),"")))),"",IF(D19=prop,VLOOKUP(K19,LitSemCou,6,0),IF(D19=loc,VLOOKUP(K19,LitSemCou,7,0),IF(D19=entr,VLOOKUP(K19,LitSemCou,11,0),""))))</f>
        <v/>
      </c>
      <c r="G19" s="528" t="str">
        <f>IF(ISERROR(IF(D19=prop,VLOOKUP(K19,LitSemCou,8),"")),"",IF(D19=prop,VLOOKUP(K19,LitSemCou,8),""))</f>
        <v/>
      </c>
      <c r="H19" s="343"/>
      <c r="I19" s="153" t="str">
        <f>IF(ISERROR(IF(OR(D19=prop,D19=loc),VLOOKUP(K19,LitSemCou,10),"")),"",IF(OR(D19=prop,D19=loc),VLOOKUP(K19,LitSemCou,10),""))</f>
        <v/>
      </c>
      <c r="J19" s="528" t="str">
        <f>IF(ISERROR(IF(OR(D19=prop,D19=loc),VLOOKUP(K19,LitSemCou,9),"")),"",IF(OR(D19=prop,D19=loc),VLOOKUP(K19,LitSemCou,9),""))</f>
        <v/>
      </c>
      <c r="K19" s="140" t="str">
        <f>IF(ISERROR(INDEX(nLitSem,MATCH(C19,litsem,0),1)),"",INDEX(nLitSem,MATCH(C19,litsem,0),1))</f>
        <v/>
      </c>
      <c r="L19" s="140"/>
      <c r="M19" s="140"/>
      <c r="N19" s="140"/>
    </row>
    <row r="20" spans="1:14">
      <c r="A20" s="36"/>
      <c r="B20" s="156" t="str">
        <f>Text!A$76</f>
        <v>passages</v>
      </c>
      <c r="C20" s="172"/>
      <c r="D20" s="171"/>
      <c r="E20" s="361"/>
      <c r="F20" s="171"/>
      <c r="G20" s="171"/>
      <c r="H20" s="221"/>
      <c r="I20" s="497"/>
      <c r="J20" s="361"/>
      <c r="K20" s="140"/>
      <c r="L20" s="140"/>
      <c r="M20" s="140"/>
      <c r="N20" s="140"/>
    </row>
    <row r="21" spans="1:14">
      <c r="A21" s="36"/>
      <c r="B21" s="168" t="str">
        <f>Text!A$74</f>
        <v>tracteur</v>
      </c>
      <c r="C21" s="169"/>
      <c r="D21" s="519"/>
      <c r="E21" s="357">
        <v>1</v>
      </c>
      <c r="F21" s="170" t="str">
        <f>IF(ISERROR(IF(D21=prop,VLOOKUP(K21,tracCou,5),IF(D21=loc,VLOOKUP(K21,tracCou,7),0))*IF(D22=entr,0,VLOOKUP(K22,LitSemCou,10,0))),"",IF(D21=prop,VLOOKUP(K21,tracCou,5),IF(D21=loc,VLOOKUP(K21,tracCou,7),0))*IF(D22=entr,0,VLOOKUP(K22,LitSemCou,10,0)))</f>
        <v/>
      </c>
      <c r="G21" s="526" t="str">
        <f>IF(ISERROR(IF(D21=prop,VLOOKUP(K21,tracCou,6),0)*IF(D22=entr,0,VLOOKUP(K22,LitSemCou,10,0))),"",IF(D21=prop,VLOOKUP(K21,tracCou,6),0)*IF(D22=entr,0,VLOOKUP(K22,LitSemCou,10,0)))</f>
        <v/>
      </c>
      <c r="H21" s="217"/>
      <c r="I21" s="345"/>
      <c r="J21" s="532"/>
      <c r="K21" s="140" t="str">
        <f>IF(ISERROR(INDEX(ntrac,MATCH('Maschinen-Machines'!C21,tract,0),1)),"",INDEX(ntrac,MATCH('Maschinen-Machines'!C21,tract,0),1))</f>
        <v/>
      </c>
      <c r="L21" s="140"/>
      <c r="M21" s="140"/>
      <c r="N21" s="140"/>
    </row>
    <row r="22" spans="1:14">
      <c r="A22" s="36"/>
      <c r="B22" s="150" t="str">
        <f>Text!A$75</f>
        <v>machine</v>
      </c>
      <c r="C22" s="151"/>
      <c r="D22" s="523"/>
      <c r="E22" s="362">
        <v>1</v>
      </c>
      <c r="F22" s="152" t="str">
        <f>IF(ISERROR(IF(D22=prop,VLOOKUP(K22,LitSemCou,6,0),IF(D22=loc,VLOOKUP(K22,LitSemCou,7,0),IF(D22=entr,VLOOKUP(K22,LitSemCou,11,0),"")))),"",IF(D22=prop,VLOOKUP(K22,LitSemCou,6,0),IF(D22=loc,VLOOKUP(K22,LitSemCou,7,0),IF(D22=entr,VLOOKUP(K22,LitSemCou,11,0),""))))</f>
        <v/>
      </c>
      <c r="G22" s="528" t="str">
        <f>IF(ISERROR(IF(D22=prop,VLOOKUP(K22,LitSemCou,8),"")),"",IF(D22=prop,VLOOKUP(K22,LitSemCou,8),""))</f>
        <v/>
      </c>
      <c r="H22" s="343"/>
      <c r="I22" s="153" t="str">
        <f>IF(ISERROR(IF(OR(D22=prop,D22=loc),VLOOKUP(K22,LitSemCou,10),"")),"",IF(OR(D22=prop,D22=loc),VLOOKUP(K22,LitSemCou,10),""))</f>
        <v/>
      </c>
      <c r="J22" s="528" t="str">
        <f>IF(ISERROR(IF(OR(D22=prop,D22=loc),VLOOKUP(K22,LitSemCou,9),"")),"",IF(OR(D22=prop,D22=loc),VLOOKUP(K22,LitSemCou,9),""))</f>
        <v/>
      </c>
      <c r="K22" s="140" t="str">
        <f>IF(ISERROR(INDEX(nLitSem,MATCH(C22,litsem,0),1)),"",INDEX(nLitSem,MATCH(C22,litsem,0),1))</f>
        <v/>
      </c>
      <c r="L22" s="140"/>
      <c r="M22" s="140"/>
      <c r="N22" s="140"/>
    </row>
    <row r="23" spans="1:14">
      <c r="A23" s="36"/>
      <c r="B23" s="156" t="str">
        <f>Text!A$76</f>
        <v>passages</v>
      </c>
      <c r="C23" s="172"/>
      <c r="D23" s="171"/>
      <c r="E23" s="361"/>
      <c r="F23" s="171"/>
      <c r="G23" s="171"/>
      <c r="H23" s="221"/>
      <c r="I23" s="497"/>
      <c r="J23" s="361"/>
      <c r="K23" s="140"/>
      <c r="L23" s="140"/>
      <c r="M23" s="140"/>
      <c r="N23" s="140"/>
    </row>
    <row r="24" spans="1:14">
      <c r="A24" s="36"/>
      <c r="B24" s="168" t="str">
        <f>Text!A$74</f>
        <v>tracteur</v>
      </c>
      <c r="C24" s="169"/>
      <c r="D24" s="519"/>
      <c r="E24" s="357">
        <v>1</v>
      </c>
      <c r="F24" s="170" t="str">
        <f>IF(ISERROR(IF(D24=prop,VLOOKUP(K24,tracCou,5),IF(D24=loc,VLOOKUP(K24,tracCou,7),0))*IF(D25=entr,0,VLOOKUP(K25,LitSemCou,10,0))),"",IF(D24=prop,VLOOKUP(K24,tracCou,5),IF(D24=loc,VLOOKUP(K24,tracCou,7),0))*IF(D25=entr,0,VLOOKUP(K25,LitSemCou,10,0)))</f>
        <v/>
      </c>
      <c r="G24" s="526" t="str">
        <f>IF(ISERROR(IF(D24=prop,VLOOKUP(K24,tracCou,6),0)*IF(D25=entr,0,VLOOKUP(K25,LitSemCou,10,0))),"",IF(D24=prop,VLOOKUP(K24,tracCou,6),0)*IF(D25=entr,0,VLOOKUP(K25,LitSemCou,10,0)))</f>
        <v/>
      </c>
      <c r="H24" s="217"/>
      <c r="I24" s="345"/>
      <c r="J24" s="532"/>
      <c r="K24" s="140" t="str">
        <f>IF(ISERROR(INDEX(ntrac,MATCH('Maschinen-Machines'!C24,tract,0),1)),"",INDEX(ntrac,MATCH('Maschinen-Machines'!C24,tract,0),1))</f>
        <v/>
      </c>
      <c r="L24" s="140"/>
      <c r="M24" s="140"/>
      <c r="N24" s="140"/>
    </row>
    <row r="25" spans="1:14">
      <c r="A25" s="36"/>
      <c r="B25" s="150" t="str">
        <f>Text!A$75</f>
        <v>machine</v>
      </c>
      <c r="C25" s="151"/>
      <c r="D25" s="523"/>
      <c r="E25" s="362">
        <v>1</v>
      </c>
      <c r="F25" s="152" t="str">
        <f>IF(ISERROR(IF(D25=prop,VLOOKUP(K25,LitSemCou,6,0),IF(D25=loc,VLOOKUP(K25,LitSemCou,7,0),IF(D25=entr,VLOOKUP(K25,LitSemCou,11,0),"")))),"",IF(D25=prop,VLOOKUP(K25,LitSemCou,6,0),IF(D25=loc,VLOOKUP(K25,LitSemCou,7,0),IF(D25=entr,VLOOKUP(K25,LitSemCou,11,0),""))))</f>
        <v/>
      </c>
      <c r="G25" s="528" t="str">
        <f>IF(ISERROR(IF(D25=prop,VLOOKUP(K25,LitSemCou,8),"")),"",IF(D25=prop,VLOOKUP(K25,LitSemCou,8),""))</f>
        <v/>
      </c>
      <c r="H25" s="343"/>
      <c r="I25" s="153" t="str">
        <f>IF(ISERROR(IF(OR(D25=prop,D25=loc),VLOOKUP(K25,LitSemCou,10),"")),"",IF(OR(D25=prop,D25=loc),VLOOKUP(K25,LitSemCou,10),""))</f>
        <v/>
      </c>
      <c r="J25" s="528" t="str">
        <f>IF(ISERROR(IF(OR(D25=prop,D25=loc),VLOOKUP(K25,LitSemCou,9),"")),"",IF(OR(D25=prop,D25=loc),VLOOKUP(K25,LitSemCou,9),""))</f>
        <v/>
      </c>
      <c r="K25" s="140" t="str">
        <f>IF(ISERROR(INDEX(nLitSem,MATCH(C25,litsem,0),1)),"",INDEX(nLitSem,MATCH(C25,litsem,0),1))</f>
        <v/>
      </c>
      <c r="L25" s="140"/>
      <c r="M25" s="140"/>
      <c r="N25" s="140"/>
    </row>
    <row r="26" spans="1:14" ht="13.8" thickBot="1">
      <c r="A26" s="198"/>
      <c r="B26" s="155" t="str">
        <f>Text!A$76</f>
        <v>passages</v>
      </c>
      <c r="C26" s="173"/>
      <c r="D26" s="174"/>
      <c r="E26" s="42"/>
      <c r="F26" s="174"/>
      <c r="G26" s="174"/>
      <c r="H26" s="222"/>
      <c r="I26" s="36"/>
      <c r="J26" s="42"/>
      <c r="K26" s="140"/>
      <c r="L26" s="140"/>
      <c r="M26" s="140"/>
      <c r="N26" s="140"/>
    </row>
    <row r="27" spans="1:14" s="130" customFormat="1">
      <c r="A27" s="160" t="str">
        <f>Text!A$98</f>
        <v>Total</v>
      </c>
      <c r="B27" s="163"/>
      <c r="C27" s="165"/>
      <c r="D27" s="166"/>
      <c r="E27" s="359">
        <v>1</v>
      </c>
      <c r="F27" s="162">
        <f>SUM(F18:F19)*$C20+SUM(F21:F22)*$C23+SUM(F24:F25)*$C26</f>
        <v>0</v>
      </c>
      <c r="G27" s="162">
        <f t="shared" ref="G27:J27" si="2">SUM(G18:G19)*$C20+SUM(G21:G22)*$C23+SUM(G24:G25)*$C26</f>
        <v>0</v>
      </c>
      <c r="H27" s="219"/>
      <c r="I27" s="162">
        <f t="shared" ref="I27" si="3">SUM(I18:I19)*$C20+SUM(I21:I22)*$C23+SUM(I24:I25)*$C26</f>
        <v>0</v>
      </c>
      <c r="J27" s="162">
        <f t="shared" si="2"/>
        <v>0</v>
      </c>
      <c r="K27" s="146"/>
      <c r="L27" s="140"/>
      <c r="M27" s="146"/>
      <c r="N27" s="146"/>
    </row>
    <row r="28" spans="1:14">
      <c r="A28" s="136" t="str">
        <f>Text!A$99</f>
        <v>dont propre</v>
      </c>
      <c r="B28" s="137"/>
      <c r="C28" s="137"/>
      <c r="D28" s="138" t="str">
        <f>prop</f>
        <v>P</v>
      </c>
      <c r="E28" s="360">
        <v>1</v>
      </c>
      <c r="F28" s="139">
        <f>SUMIF($D$18:$D$19,$D28,F$18:F$19)*$C$20+SUMIF($D$21:$D$22,$D28,F$21:F$22)*$C$23+SUMIF($D$24:$D$25,$D28,F$24:F$25)*$C$26</f>
        <v>0</v>
      </c>
      <c r="G28" s="139">
        <f>SUMIF($D$18:$D$19,$D28,G$18:G$19)*$C$20+SUMIF($D$21:$D$22,$D28,G$21:G$22)*$C$23+SUMIF($D$24:$D$25,$D28,G$24:G$25)*$C$26</f>
        <v>0</v>
      </c>
      <c r="H28" s="220"/>
      <c r="I28" s="135"/>
      <c r="J28" s="534"/>
      <c r="K28" s="140"/>
      <c r="L28" s="140"/>
      <c r="M28" s="140"/>
      <c r="N28" s="140"/>
    </row>
    <row r="29" spans="1:14">
      <c r="A29" s="136" t="str">
        <f>Text!A$100</f>
        <v>dont location</v>
      </c>
      <c r="B29" s="137"/>
      <c r="C29" s="137"/>
      <c r="D29" s="138" t="str">
        <f>loc</f>
        <v>L</v>
      </c>
      <c r="E29" s="360">
        <v>1</v>
      </c>
      <c r="F29" s="139">
        <f t="shared" ref="F29:G30" si="4">SUMIF($D$18:$D$19,$D29,F$18:F$19)*$C$20+SUMIF($D$21:$D$22,$D29,F$21:F$22)*$C$23+SUMIF($D$24:$D$25,$D29,F$24:F$25)*$C$26</f>
        <v>0</v>
      </c>
      <c r="G29" s="139">
        <f t="shared" si="4"/>
        <v>0</v>
      </c>
      <c r="H29" s="220"/>
      <c r="I29" s="135"/>
      <c r="J29" s="534"/>
      <c r="K29" s="140"/>
      <c r="L29" s="140"/>
      <c r="M29" s="140"/>
      <c r="N29" s="140"/>
    </row>
    <row r="30" spans="1:14">
      <c r="A30" s="136" t="str">
        <f>Text!A$101</f>
        <v>dont entreprise</v>
      </c>
      <c r="B30" s="137"/>
      <c r="C30" s="137"/>
      <c r="D30" s="138" t="str">
        <f>entr</f>
        <v>E</v>
      </c>
      <c r="E30" s="360">
        <v>1</v>
      </c>
      <c r="F30" s="139">
        <f>SUMIF($D$18:$D$19,$D30,F$18:F$19)*$C$20+SUMIF($D$21:$D$22,$D30,F$21:F$22)*$C$23+SUMIF($D$24:$D$25,$D30,F$24:F$25)*$C$26</f>
        <v>0</v>
      </c>
      <c r="G30" s="139">
        <f t="shared" si="4"/>
        <v>0</v>
      </c>
      <c r="H30" s="220"/>
      <c r="I30" s="135"/>
      <c r="J30" s="534"/>
      <c r="K30" s="140"/>
      <c r="L30" s="140"/>
      <c r="M30" s="140"/>
      <c r="N30" s="140"/>
    </row>
    <row r="31" spans="1:14">
      <c r="D31" s="128"/>
      <c r="E31" s="347"/>
      <c r="G31" s="39"/>
      <c r="H31" s="140"/>
      <c r="J31" s="39"/>
      <c r="K31" s="140"/>
      <c r="L31" s="140"/>
      <c r="M31" s="140"/>
      <c r="N31" s="140"/>
    </row>
    <row r="32" spans="1:14">
      <c r="A32" s="35" t="str">
        <f>Text!A65</f>
        <v>Semis</v>
      </c>
      <c r="B32" s="40"/>
      <c r="C32" s="41"/>
      <c r="D32" s="129"/>
      <c r="E32" s="348"/>
      <c r="F32" s="42"/>
      <c r="G32" s="42"/>
      <c r="H32" s="140"/>
      <c r="I32" s="36"/>
      <c r="J32" s="42"/>
      <c r="K32" s="140"/>
      <c r="L32" s="140"/>
      <c r="M32" s="140"/>
      <c r="N32" s="140"/>
    </row>
    <row r="33" spans="1:14">
      <c r="A33" s="199"/>
      <c r="B33" s="168" t="str">
        <f>Text!A$74</f>
        <v>tracteur</v>
      </c>
      <c r="C33" s="169"/>
      <c r="D33" s="519"/>
      <c r="E33" s="357">
        <v>1</v>
      </c>
      <c r="F33" s="170" t="str">
        <f>IF(ISERROR(IF(D33=prop,VLOOKUP(K33,tracCou,5),IF(D33=loc,VLOOKUP(K33,tracCou,7),0))*IF(D34=entr,0,VLOOKUP(K34,SemisCou,10,0))),"",IF(D33=prop,VLOOKUP(K33,tracCou,5),IF(D33=loc,VLOOKUP(K33,tracCou,7),0))*IF(D34=entr,0,VLOOKUP(K34,SemisCou,10,0)))</f>
        <v/>
      </c>
      <c r="G33" s="526" t="str">
        <f>IF(ISERROR(IF(D33=prop,VLOOKUP(K33,tracCou,6),0)*IF(D34=entr,0,VLOOKUP(K34,SemisCou,10,0))),"",IF(D33=prop,VLOOKUP(K33,tracCou,6),0)*IF(D34=entr,0,VLOOKUP(K34,SemisCou,10,0)))</f>
        <v/>
      </c>
      <c r="H33" s="217"/>
      <c r="I33" s="345"/>
      <c r="J33" s="532"/>
      <c r="K33" s="140" t="str">
        <f>IF(ISERROR(INDEX(ntrac,MATCH('Maschinen-Machines'!C33,tract,0),1)),"",INDEX(ntrac,MATCH('Maschinen-Machines'!C33,tract,0),1))</f>
        <v/>
      </c>
      <c r="L33" s="140"/>
      <c r="M33" s="140"/>
      <c r="N33" s="140"/>
    </row>
    <row r="34" spans="1:14">
      <c r="A34" s="36"/>
      <c r="B34" s="156" t="str">
        <f>Text!A$75</f>
        <v>machine</v>
      </c>
      <c r="C34" s="157"/>
      <c r="D34" s="520"/>
      <c r="E34" s="358">
        <v>1</v>
      </c>
      <c r="F34" s="158" t="str">
        <f>IF(ISERROR(IF(D34=prop,VLOOKUP(K34,SemisCou,6,0),IF(D34=loc,VLOOKUP(K34,SemisCou,7,0),IF(D34=entr,VLOOKUP(K34,SemisCou,11,0),"")))),"",IF(D34=prop,VLOOKUP(K34,SemisCou,6,0),IF(D34=loc,VLOOKUP(K34,SemisCou,7,0),IF(D34=entr,VLOOKUP(K34,SemisCou,11,0),""))))</f>
        <v/>
      </c>
      <c r="G34" s="527" t="str">
        <f>IF(ISERROR(IF(D34=prop,VLOOKUP(K34,SemisCou,8),"")),"",IF(D34=prop,VLOOKUP(K34,SemisCou,8),""))</f>
        <v/>
      </c>
      <c r="H34" s="218"/>
      <c r="I34" s="159" t="str">
        <f>IF(ISERROR(IF(OR(D34=prop,D34=loc),VLOOKUP(K34,SemisCou,10),"")),"",IF(OR(D34=prop,D34=loc),VLOOKUP(K34,Semisou,10),""))</f>
        <v/>
      </c>
      <c r="J34" s="527" t="str">
        <f>IF(ISERROR(IF(OR(D34=prop,D34=loc),VLOOKUP(K34,SemisCou,9),"")),"",IF(OR(D34=prop,D34=loc),VLOOKUP(K34,SemisCou,9),""))</f>
        <v/>
      </c>
      <c r="K34" s="140" t="str">
        <f>IF(ISERROR(INDEX(nSemis,MATCH(C34,Semis,0),1)),"",INDEX(nSemis,MATCH(C34,Semis,0),1))</f>
        <v/>
      </c>
      <c r="L34" s="140"/>
      <c r="M34" s="140"/>
      <c r="N34" s="140"/>
    </row>
    <row r="35" spans="1:14">
      <c r="A35" s="36"/>
      <c r="B35" s="168" t="str">
        <f>Text!A$74</f>
        <v>tracteur</v>
      </c>
      <c r="C35" s="169"/>
      <c r="D35" s="519"/>
      <c r="E35" s="357">
        <v>1</v>
      </c>
      <c r="F35" s="170" t="str">
        <f>IF(ISERROR(IF(D35=prop,VLOOKUP(K35,tracCou,5),IF(D35=loc,VLOOKUP(K35,tracCou,7),0))*IF(D36=entr,0,VLOOKUP(K36,SemisCou,10,0))),"",IF(D35=prop,VLOOKUP(K35,tracCou,5),IF(D35=loc,VLOOKUP(K35,tracCou,7),0))*IF(D36=entr,0,VLOOKUP(K36,SemisCou,10,0)))</f>
        <v/>
      </c>
      <c r="G35" s="526" t="str">
        <f>IF(ISERROR(IF(D35=prop,VLOOKUP(K35,tracCou,6),0)*IF(D36=entr,0,VLOOKUP(K36,SemisCou,10,0))),"",IF(D35=prop,VLOOKUP(K35,tracCou,6),0)*IF(D36=entr,0,VLOOKUP(K36,SemisCou,10,0)))</f>
        <v/>
      </c>
      <c r="H35" s="217"/>
      <c r="I35" s="345"/>
      <c r="J35" s="532"/>
      <c r="K35" s="140" t="str">
        <f>IF(ISERROR(INDEX(ntrac,MATCH('Maschinen-Machines'!C35,tract,0),1)),"",INDEX(ntrac,MATCH('Maschinen-Machines'!C35,tract,0),1))</f>
        <v/>
      </c>
      <c r="L35" s="140"/>
      <c r="M35" s="140"/>
      <c r="N35" s="140"/>
    </row>
    <row r="36" spans="1:14" ht="13.8" thickBot="1">
      <c r="A36" s="198"/>
      <c r="B36" s="156" t="str">
        <f>Text!A$75</f>
        <v>machine</v>
      </c>
      <c r="C36" s="157"/>
      <c r="D36" s="520"/>
      <c r="E36" s="358">
        <v>1</v>
      </c>
      <c r="F36" s="158" t="str">
        <f>IF(ISERROR(IF(D36=prop,VLOOKUP(K36,SemisCou,6,0),IF(D36=loc,VLOOKUP(K36,SemisCou,7,0),IF(D36=entr,VLOOKUP(K36,SemisCou,11,0),"")))),"",IF(D36=prop,VLOOKUP(K36,SemisCou,6,0),IF(D36=loc,VLOOKUP(K36,SemisCou,7,0),IF(D36=entr,VLOOKUP(K36,SemisCou,11,0),""))))</f>
        <v/>
      </c>
      <c r="G36" s="527" t="str">
        <f>IF(ISERROR(IF(D36=prop,VLOOKUP(K36,SemisCou,8),"")),"",IF(D36=prop,VLOOKUP(K36,SemisCou,8),""))</f>
        <v/>
      </c>
      <c r="H36" s="218"/>
      <c r="I36" s="159" t="str">
        <f>IF(ISERROR(IF(OR(D36=prop,D36=loc),VLOOKUP(K36,SemisCou,10),"")),"",IF(OR(D36=prop,D36=loc),VLOOKUP(K36,Semisou,10),""))</f>
        <v/>
      </c>
      <c r="J36" s="527" t="str">
        <f>IF(ISERROR(IF(OR(D36=prop,D36=loc),VLOOKUP(K36,SemisCou,9),"")),"",IF(OR(D36=prop,D36=loc),VLOOKUP(K36,SemisCou,9),""))</f>
        <v/>
      </c>
      <c r="K36" s="140" t="str">
        <f>IF(ISERROR(INDEX(nSemis,MATCH(C36,Semis,0),1)),"",INDEX(nSemis,MATCH(C36,Semis,0),1))</f>
        <v/>
      </c>
      <c r="L36" s="140"/>
      <c r="M36" s="140"/>
      <c r="N36" s="140"/>
    </row>
    <row r="37" spans="1:14" s="130" customFormat="1">
      <c r="A37" s="160" t="str">
        <f>Text!A$98</f>
        <v>Total</v>
      </c>
      <c r="B37" s="163"/>
      <c r="C37" s="163"/>
      <c r="D37" s="163"/>
      <c r="E37" s="359">
        <v>1</v>
      </c>
      <c r="F37" s="164">
        <f>SUM(F33:F36)</f>
        <v>0</v>
      </c>
      <c r="G37" s="529">
        <f>SUM(G33:G36)</f>
        <v>0</v>
      </c>
      <c r="H37" s="219"/>
      <c r="I37" s="164">
        <f>SUM(I33:I36)</f>
        <v>0</v>
      </c>
      <c r="J37" s="529">
        <f>SUM(J33:J36)</f>
        <v>0</v>
      </c>
      <c r="K37" s="146"/>
      <c r="L37" s="146"/>
      <c r="M37" s="146"/>
      <c r="N37" s="146"/>
    </row>
    <row r="38" spans="1:14">
      <c r="A38" s="136" t="str">
        <f>Text!A$99</f>
        <v>dont propre</v>
      </c>
      <c r="B38" s="137"/>
      <c r="C38" s="137"/>
      <c r="D38" s="138" t="str">
        <f>prop</f>
        <v>P</v>
      </c>
      <c r="E38" s="360">
        <v>1</v>
      </c>
      <c r="F38" s="139">
        <f>SUMIF($D$33:$D$36,$D38,F$33:F$36)</f>
        <v>0</v>
      </c>
      <c r="G38" s="139">
        <f>SUMIF($D$33:$D$36,$D38,G$33:G$36)</f>
        <v>0</v>
      </c>
      <c r="H38" s="220"/>
      <c r="I38" s="135"/>
      <c r="J38" s="534"/>
      <c r="K38" s="140"/>
      <c r="L38" s="140"/>
      <c r="M38" s="140"/>
      <c r="N38" s="140"/>
    </row>
    <row r="39" spans="1:14">
      <c r="A39" s="136" t="str">
        <f>Text!A$100</f>
        <v>dont location</v>
      </c>
      <c r="B39" s="137"/>
      <c r="C39" s="137"/>
      <c r="D39" s="138" t="str">
        <f>loc</f>
        <v>L</v>
      </c>
      <c r="E39" s="360">
        <v>1</v>
      </c>
      <c r="F39" s="139">
        <f t="shared" ref="F39:G40" si="5">SUMIF($D$33:$D$36,$D39,F$33:F$36)</f>
        <v>0</v>
      </c>
      <c r="G39" s="139">
        <f t="shared" si="5"/>
        <v>0</v>
      </c>
      <c r="H39" s="220"/>
      <c r="I39" s="135"/>
      <c r="J39" s="534"/>
      <c r="K39" s="140"/>
      <c r="L39" s="140"/>
      <c r="M39" s="140"/>
      <c r="N39" s="140"/>
    </row>
    <row r="40" spans="1:14">
      <c r="A40" s="136" t="str">
        <f>Text!A$101</f>
        <v>dont entreprise</v>
      </c>
      <c r="B40" s="137"/>
      <c r="C40" s="137"/>
      <c r="D40" s="138" t="str">
        <f>entr</f>
        <v>E</v>
      </c>
      <c r="E40" s="360">
        <v>1</v>
      </c>
      <c r="F40" s="139">
        <f t="shared" si="5"/>
        <v>0</v>
      </c>
      <c r="G40" s="139">
        <f t="shared" si="5"/>
        <v>0</v>
      </c>
      <c r="H40" s="220"/>
      <c r="I40" s="135"/>
      <c r="J40" s="534"/>
      <c r="K40" s="140"/>
      <c r="L40" s="140"/>
      <c r="M40" s="140"/>
      <c r="N40" s="140"/>
    </row>
    <row r="41" spans="1:14">
      <c r="D41" s="128"/>
      <c r="E41" s="347"/>
      <c r="G41" s="39"/>
      <c r="H41" s="140"/>
      <c r="J41" s="39"/>
      <c r="K41" s="140"/>
      <c r="L41" s="140"/>
      <c r="M41" s="140"/>
      <c r="N41" s="140"/>
    </row>
    <row r="42" spans="1:14">
      <c r="A42" s="35" t="str">
        <f>Text!A66</f>
        <v>Plantation</v>
      </c>
      <c r="B42" s="40"/>
      <c r="C42" s="41"/>
      <c r="D42" s="129"/>
      <c r="E42" s="348"/>
      <c r="F42" s="42"/>
      <c r="G42" s="42"/>
      <c r="H42" s="140"/>
      <c r="I42" s="36"/>
      <c r="J42" s="42"/>
      <c r="K42" s="140"/>
      <c r="L42" s="140"/>
      <c r="M42" s="140"/>
      <c r="N42" s="140"/>
    </row>
    <row r="43" spans="1:14">
      <c r="A43" s="199"/>
      <c r="B43" s="168" t="str">
        <f>Text!A$74</f>
        <v>tracteur</v>
      </c>
      <c r="C43" s="169"/>
      <c r="D43" s="519"/>
      <c r="E43" s="357">
        <v>1</v>
      </c>
      <c r="F43" s="170" t="str">
        <f>IF(ISERROR(IF(D43=prop,VLOOKUP(K43,tracCou,5),IF(D43=loc,VLOOKUP(K43,tracCou,7),""))*IF(D44=entr,0,I44)),"",IF(D43=prop,VLOOKUP(K43,tracCou,5),IF(D43=loc,VLOOKUP(K43,tracCou,7),""))*IF(D44=entr,0,I44))</f>
        <v/>
      </c>
      <c r="G43" s="526" t="str">
        <f>IF(ISERROR(IF(D43=prop,VLOOKUP(K43,tracCou,6),"")*IF(D44=entr,0,I44)),"",IF(D43=prop,VLOOKUP(K43,tracCou,6),"")*IF(D44=entr,0,I44))</f>
        <v/>
      </c>
      <c r="H43" s="217"/>
      <c r="I43" s="345"/>
      <c r="J43" s="532"/>
      <c r="K43" s="140" t="str">
        <f>IF(ISERROR(INDEX(ntrac,MATCH('Maschinen-Machines'!C43,tract,0),1)),"",INDEX(ntrac,MATCH('Maschinen-Machines'!C43,tract,0),1))</f>
        <v/>
      </c>
      <c r="L43" s="140"/>
      <c r="M43" s="140"/>
      <c r="N43" s="140"/>
    </row>
    <row r="44" spans="1:14">
      <c r="A44" s="36"/>
      <c r="B44" s="150" t="str">
        <f>Text!A$75</f>
        <v>machine</v>
      </c>
      <c r="C44" s="175"/>
      <c r="D44" s="523"/>
      <c r="E44" s="362">
        <v>1</v>
      </c>
      <c r="F44" s="176" t="str">
        <f>IF(ISERROR(IF(D44=prop,VLOOKUP(K44,tracCou,5),IF(D44=loc,VLOOKUP(K44,tracCou,7),""))*IF(D45=entr,0,I45)),"",IF(D44=prop,VLOOKUP(K44,tracCou,5),IF(D44=loc,VLOOKUP(K44,tracCou,7),""))*IF(D45=entr,0,I45))</f>
        <v/>
      </c>
      <c r="G44" s="176" t="str">
        <f>IF(ISERROR(IF(D44=prop,VLOOKUP(K44,tracCou,6),"")*IF(D45=entr,0,I45)),"",IF(D44=prop,VLOOKUP(K44,tracCou,6),"")*IF(D45=entr,0,I45))</f>
        <v/>
      </c>
      <c r="H44" s="223"/>
      <c r="I44" s="177"/>
      <c r="J44" s="176"/>
      <c r="K44" s="140"/>
      <c r="L44" s="140"/>
      <c r="M44" s="140"/>
      <c r="N44" s="140"/>
    </row>
    <row r="45" spans="1:14" ht="13.8" thickBot="1">
      <c r="A45" s="198"/>
      <c r="B45" s="155" t="str">
        <f>Text!A113</f>
        <v>Nombre de travailleurs</v>
      </c>
      <c r="C45" s="178"/>
      <c r="D45" s="179"/>
      <c r="E45" s="349"/>
      <c r="F45" s="174"/>
      <c r="G45" s="174"/>
      <c r="H45" s="222"/>
      <c r="I45" s="154"/>
      <c r="J45" s="190"/>
      <c r="K45" s="140"/>
      <c r="L45" s="140"/>
      <c r="M45" s="140"/>
      <c r="N45" s="140"/>
    </row>
    <row r="46" spans="1:14" ht="13.8" thickBot="1">
      <c r="A46" s="198"/>
      <c r="B46" s="197" t="s">
        <v>10</v>
      </c>
      <c r="C46" s="180"/>
      <c r="D46" s="181"/>
      <c r="E46" s="350"/>
      <c r="F46" s="182"/>
      <c r="G46" s="182"/>
      <c r="H46" s="224"/>
      <c r="I46" s="183"/>
      <c r="J46" s="182" t="s">
        <v>1</v>
      </c>
      <c r="K46" s="140"/>
      <c r="L46" s="140"/>
      <c r="M46" s="140"/>
      <c r="N46" s="140"/>
    </row>
    <row r="47" spans="1:14" s="130" customFormat="1">
      <c r="A47" s="160" t="str">
        <f>Text!A$98</f>
        <v>Total</v>
      </c>
      <c r="B47" s="163"/>
      <c r="C47" s="165"/>
      <c r="D47" s="166"/>
      <c r="E47" s="359">
        <v>1</v>
      </c>
      <c r="F47" s="164">
        <f>SUM(F43:F46)</f>
        <v>0</v>
      </c>
      <c r="G47" s="529">
        <f>SUM(G43:G46)</f>
        <v>0</v>
      </c>
      <c r="H47" s="219"/>
      <c r="I47" s="164">
        <f>SUM(I43:I46)</f>
        <v>0</v>
      </c>
      <c r="J47" s="529">
        <f>SUM(J43:K46)</f>
        <v>0</v>
      </c>
      <c r="K47" s="146"/>
      <c r="L47" s="146"/>
      <c r="M47" s="146"/>
      <c r="N47" s="146"/>
    </row>
    <row r="48" spans="1:14">
      <c r="A48" s="136" t="str">
        <f>Text!A$99</f>
        <v>dont propre</v>
      </c>
      <c r="B48" s="137"/>
      <c r="C48" s="137"/>
      <c r="D48" s="138" t="str">
        <f>prop</f>
        <v>P</v>
      </c>
      <c r="E48" s="360">
        <v>1</v>
      </c>
      <c r="F48" s="139">
        <f>SUMIF($D$43:$D$44,$D48,F$43:F$44)</f>
        <v>0</v>
      </c>
      <c r="G48" s="139">
        <f>SUMIF($D$43:$D$44,$D48,G$43:G$44)</f>
        <v>0</v>
      </c>
      <c r="H48" s="220"/>
      <c r="I48" s="135"/>
      <c r="J48" s="534"/>
      <c r="K48" s="140"/>
      <c r="L48" s="140"/>
      <c r="M48" s="140"/>
      <c r="N48" s="140"/>
    </row>
    <row r="49" spans="1:14">
      <c r="A49" s="136" t="str">
        <f>Text!A$100</f>
        <v>dont location</v>
      </c>
      <c r="B49" s="137"/>
      <c r="C49" s="137"/>
      <c r="D49" s="138" t="str">
        <f>loc</f>
        <v>L</v>
      </c>
      <c r="E49" s="360">
        <v>1</v>
      </c>
      <c r="F49" s="139">
        <f t="shared" ref="F49:G50" si="6">SUMIF($D$43:$D$44,$D49,F$43:F$44)</f>
        <v>0</v>
      </c>
      <c r="G49" s="139">
        <f t="shared" si="6"/>
        <v>0</v>
      </c>
      <c r="H49" s="220"/>
      <c r="I49" s="135"/>
      <c r="J49" s="534"/>
      <c r="K49" s="140"/>
      <c r="L49" s="140"/>
      <c r="M49" s="140"/>
      <c r="N49" s="140"/>
    </row>
    <row r="50" spans="1:14">
      <c r="A50" s="136" t="str">
        <f>Text!A$101</f>
        <v>dont entreprise</v>
      </c>
      <c r="B50" s="137"/>
      <c r="C50" s="137"/>
      <c r="D50" s="138" t="str">
        <f>entr</f>
        <v>E</v>
      </c>
      <c r="E50" s="360">
        <v>1</v>
      </c>
      <c r="F50" s="139">
        <f t="shared" si="6"/>
        <v>0</v>
      </c>
      <c r="G50" s="139">
        <f t="shared" si="6"/>
        <v>0</v>
      </c>
      <c r="H50" s="220"/>
      <c r="I50" s="135"/>
      <c r="J50" s="534"/>
      <c r="K50" s="140"/>
      <c r="L50" s="140"/>
      <c r="M50" s="140"/>
      <c r="N50" s="140"/>
    </row>
    <row r="51" spans="1:14">
      <c r="D51" s="128"/>
      <c r="E51" s="347"/>
      <c r="G51" s="39"/>
      <c r="H51" s="140"/>
      <c r="J51" s="39"/>
      <c r="K51" s="140"/>
      <c r="L51" s="140"/>
      <c r="M51" s="140"/>
      <c r="N51" s="140"/>
    </row>
    <row r="52" spans="1:14">
      <c r="A52" s="35" t="str">
        <f>Text!A67</f>
        <v>Travaux d'entretien sur le champ</v>
      </c>
      <c r="B52" s="40"/>
      <c r="C52" s="41"/>
      <c r="D52" s="129"/>
      <c r="E52" s="348"/>
      <c r="F52" s="42"/>
      <c r="G52" s="42"/>
      <c r="H52" s="140"/>
      <c r="I52" s="36"/>
      <c r="J52" s="42"/>
      <c r="K52" s="140"/>
      <c r="L52" s="140"/>
      <c r="M52" s="140"/>
      <c r="N52" s="140"/>
    </row>
    <row r="53" spans="1:14">
      <c r="A53" s="199"/>
      <c r="B53" s="168" t="str">
        <f>Text!A$74</f>
        <v>tracteur</v>
      </c>
      <c r="C53" s="169"/>
      <c r="D53" s="519"/>
      <c r="E53" s="357">
        <v>1</v>
      </c>
      <c r="F53" s="170" t="str">
        <f>IF(ISERROR(IF(D53=prop,VLOOKUP(K53,tracCou,5),IF(D53=loc,VLOOKUP(K53,tracCou,7),0))*IF(D54=entr,0,VLOOKUP(K54,EngraisCou,10,0))),"",IF(D53=prop,VLOOKUP(K53,tracCou,5),IF(D53=loc,VLOOKUP(K53,tracCou,7),0))*IF(D54=entr,0,VLOOKUP(K54,EngraisCou,10,0)))</f>
        <v/>
      </c>
      <c r="G53" s="526" t="str">
        <f>IF(ISERROR(IF(D53=prop,VLOOKUP(K53,tracCou,6),0)*IF(D54=entr,0,VLOOKUP(K54,EngraisCou,10,0))),"",IF(D53=prop,VLOOKUP(K53,tracCou,6),0)*IF(D54=entr,0,VLOOKUP(K54,EngraisCou,10,0)))</f>
        <v/>
      </c>
      <c r="H53" s="217"/>
      <c r="I53" s="345"/>
      <c r="J53" s="532"/>
      <c r="K53" s="140" t="str">
        <f>IF(ISERROR(INDEX(ntrac,MATCH('Maschinen-Machines'!C53,tract,0),1)),"",INDEX(ntrac,MATCH('Maschinen-Machines'!C53,tract,0),1))</f>
        <v/>
      </c>
      <c r="L53" s="140"/>
      <c r="M53" s="140"/>
      <c r="N53" s="140"/>
    </row>
    <row r="54" spans="1:14">
      <c r="A54" s="36"/>
      <c r="B54" s="150" t="str">
        <f>Text!A77</f>
        <v>distributeur d'engrais</v>
      </c>
      <c r="C54" s="151"/>
      <c r="D54" s="523"/>
      <c r="E54" s="362">
        <v>1</v>
      </c>
      <c r="F54" s="152" t="str">
        <f>IF(ISERROR(IF(D54=prop,VLOOKUP(K54,EngraisCou,6,0),IF(D54=loc,VLOOKUP(K54,EngraisCou,7,0),IF(D54=entr,VLOOKUP(K54,EngraisCou,11,0),"")))),"",IF(D54=prop,VLOOKUP(K54,EngraisCou,6,0),IF(D54=loc,VLOOKUP(K54,EngraisCou,7,0),IF(D54=entr,VLOOKUP(K54,EngraisCou,11,0),""))))</f>
        <v/>
      </c>
      <c r="G54" s="528" t="str">
        <f>IF(ISERROR(IF(D54=prop,VLOOKUP(K54,EngraisCou,8),"")),"",IF(D54=prop,VLOOKUP(K54,EngraisCou,8),""))</f>
        <v/>
      </c>
      <c r="H54" s="343"/>
      <c r="I54" s="153" t="str">
        <f>IF(ISERROR(IF(OR(D54=prop,D54=loc),VLOOKUP(K54,EngraisCou,10),"")),"",IF(OR(D54=prop,D54=loc),VLOOKUP(K54,EngraisCou,10),""))</f>
        <v/>
      </c>
      <c r="J54" s="528" t="str">
        <f>IF(ISERROR(IF(OR(D54=prop,D54=loc),VLOOKUP(K54,EngraisCou,9),"")),"",IF(OR(D54=prop,D54=loc),VLOOKUP(K54,EngraisCou,9),""))</f>
        <v/>
      </c>
      <c r="K54" s="140" t="str">
        <f>IF(ISERROR(INDEX(nEngrais,MATCH(C54,Engrais,0),1)),"",INDEX(nEngrais,MATCH(C54,Engrais,0),1))</f>
        <v/>
      </c>
      <c r="L54" s="140"/>
      <c r="M54" s="140"/>
      <c r="N54" s="140"/>
    </row>
    <row r="55" spans="1:14">
      <c r="A55" s="36"/>
      <c r="B55" s="156" t="str">
        <f>Text!A$73</f>
        <v>passages</v>
      </c>
      <c r="C55" s="172"/>
      <c r="D55" s="184"/>
      <c r="E55" s="351"/>
      <c r="F55" s="171"/>
      <c r="G55" s="171"/>
      <c r="H55" s="221"/>
      <c r="I55" s="497"/>
      <c r="J55" s="361"/>
      <c r="K55" s="140"/>
      <c r="L55" s="140"/>
      <c r="M55" s="140"/>
      <c r="N55" s="140"/>
    </row>
    <row r="56" spans="1:14">
      <c r="A56" s="36"/>
      <c r="B56" s="168" t="str">
        <f>Text!A$74</f>
        <v>tracteur</v>
      </c>
      <c r="C56" s="169"/>
      <c r="D56" s="519"/>
      <c r="E56" s="357">
        <v>1</v>
      </c>
      <c r="F56" s="170" t="str">
        <f>IF(ISERROR(IF(D56=prop,VLOOKUP(K56,tracCou,5),IF(D56=loc,VLOOKUP(K56,tracCou,7),0))*IF(D57=entr,0,VLOOKUP(K57,PulvCou,10,0))),"",IF(D56=prop,VLOOKUP(K56,tracCou,5),IF(D56=loc,VLOOKUP(K56,tracCou,7),0))*IF(D57=entr,0,VLOOKUP(K57,PulvCou,10,0)))</f>
        <v/>
      </c>
      <c r="G56" s="526" t="str">
        <f>IF(ISERROR(IF(D56=prop,VLOOKUP(K56,tracCou,6),0)*IF(D57=entr,0,VLOOKUP(K57,PulvCou,10,0))),"",IF(D56=prop,VLOOKUP(K56,tracCou,6),0)*IF(D57=entr,0,VLOOKUP(K57,PulvCou,10,0)))</f>
        <v/>
      </c>
      <c r="H56" s="217"/>
      <c r="I56" s="345"/>
      <c r="J56" s="532"/>
      <c r="K56" s="140" t="str">
        <f>IF(ISERROR(INDEX(ntrac,MATCH('Maschinen-Machines'!C56,tract,0),1)),"",INDEX(ntrac,MATCH('Maschinen-Machines'!C56,tract,0),1))</f>
        <v/>
      </c>
      <c r="L56" s="140"/>
      <c r="M56" s="140"/>
      <c r="N56" s="140"/>
    </row>
    <row r="57" spans="1:14">
      <c r="A57" s="36"/>
      <c r="B57" s="150" t="str">
        <f>Text!A78</f>
        <v>pulverisateur</v>
      </c>
      <c r="C57" s="151"/>
      <c r="D57" s="523"/>
      <c r="E57" s="362">
        <v>1</v>
      </c>
      <c r="F57" s="152" t="str">
        <f>IF(ISERROR(IF(D57=prop,VLOOKUP(K57,PulvCou,6,0),IF(D57=loc,VLOOKUP(K57,PulvCou,7,0),IF(D57=entr,VLOOKUP(K57,PulvCou,11,0),"")))),"",IF(D57=prop,VLOOKUP(K57,PulvCou,6,0),IF(D57=loc,VLOOKUP(K57,PulvCou,7,0),IF(D57=entr,VLOOKUP(K57,PulvCou,11,0),""))))</f>
        <v/>
      </c>
      <c r="G57" s="528" t="str">
        <f>IF(ISERROR(IF(D57=prop,VLOOKUP(K57,PulvCou,8),"")),"",IF(D57=prop,VLOOKUP(K57,PulvCou,8),""))</f>
        <v/>
      </c>
      <c r="H57" s="343"/>
      <c r="I57" s="153" t="str">
        <f>IF(ISERROR(IF(OR(D57=prop,D57=loc),VLOOKUP(K57,PulvCou,10),"")),"",IF(OR(D57=prop,D57=loc),VLOOKUP(K57,PulvCou,10),""))</f>
        <v/>
      </c>
      <c r="J57" s="528" t="str">
        <f>IF(ISERROR(IF(OR(D57=prop,D57=loc),VLOOKUP(K57,PulvCou,9),"")),"",IF(OR(D57=prop,D57=loc),VLOOKUP(K57,PulvCou,9),""))</f>
        <v/>
      </c>
      <c r="K57" s="140" t="str">
        <f>IF(ISERROR(INDEX(nPulv,MATCH(C57,pulv,0),1)),"",INDEX(nPulv,MATCH(C57,pulv,0),1))</f>
        <v/>
      </c>
      <c r="L57" s="140"/>
      <c r="M57" s="140"/>
      <c r="N57" s="140"/>
    </row>
    <row r="58" spans="1:14">
      <c r="A58" s="36"/>
      <c r="B58" s="156" t="str">
        <f>Text!A$73</f>
        <v>passages</v>
      </c>
      <c r="C58" s="172"/>
      <c r="D58" s="184"/>
      <c r="E58" s="351"/>
      <c r="F58" s="171"/>
      <c r="G58" s="171"/>
      <c r="H58" s="221"/>
      <c r="I58" s="497"/>
      <c r="J58" s="361"/>
      <c r="K58" s="140"/>
      <c r="L58" s="140"/>
      <c r="M58" s="140"/>
      <c r="N58" s="140"/>
    </row>
    <row r="59" spans="1:14">
      <c r="A59" s="36"/>
      <c r="B59" s="168" t="str">
        <f>Text!A$74</f>
        <v>tracteur</v>
      </c>
      <c r="C59" s="169"/>
      <c r="D59" s="519"/>
      <c r="E59" s="357">
        <v>1</v>
      </c>
      <c r="F59" s="170" t="str">
        <f>IF(ISERROR(IF(D59=prop,VLOOKUP(K59,tracCou,5),IF(D59=loc,VLOOKUP(K59,tracCou,7),0))*IF(D60=entr,0,VLOOKUP(K60,HersCou,10,0))),"",IF(D59=prop,VLOOKUP(K59,tracCou,5),IF(D59=loc,VLOOKUP(K59,tracCou,7),0))*IF(D60=entr,0,VLOOKUP(K60,HersCou,10,0)))</f>
        <v/>
      </c>
      <c r="G59" s="526" t="str">
        <f>IF(ISERROR(IF(D59=prop,VLOOKUP(K59,tracCou,6),0)*IF(D60=entr,0,VLOOKUP(K60,HersCou,10,0))),"",IF(D59=prop,VLOOKUP(K59,tracCou,6),0)*IF(D60=entr,0,VLOOKUP(K60,HersCou,10,0)))</f>
        <v/>
      </c>
      <c r="H59" s="217"/>
      <c r="I59" s="345"/>
      <c r="J59" s="532"/>
      <c r="K59" s="140" t="str">
        <f>IF(ISERROR(INDEX(ntrac,MATCH('Maschinen-Machines'!C59,tract,0),1)),"",INDEX(ntrac,MATCH('Maschinen-Machines'!C59,tract,0),1))</f>
        <v/>
      </c>
      <c r="L59" s="140"/>
      <c r="M59" s="140"/>
      <c r="N59" s="140"/>
    </row>
    <row r="60" spans="1:14">
      <c r="A60" s="36"/>
      <c r="B60" s="150" t="str">
        <f>Text!A79</f>
        <v>herse étrille</v>
      </c>
      <c r="C60" s="151"/>
      <c r="D60" s="523"/>
      <c r="E60" s="362">
        <v>1</v>
      </c>
      <c r="F60" s="152" t="str">
        <f>IF(ISERROR(IF(D60=prop,VLOOKUP(K60,HersCou,6,0),IF(D60=loc,VLOOKUP(K60,HersCou,7,0),IF(D60=entr,VLOOKUP(K60,HersCou,11,0),"")))),"",IF(D60=prop,VLOOKUP(K60,HersCou,6,0),IF(D60=loc,VLOOKUP(K60,HersCou,7,0),IF(D60=entr,VLOOKUP(K60,HersCou,11,0),""))))</f>
        <v/>
      </c>
      <c r="G60" s="528" t="str">
        <f>IF(ISERROR(IF(D60=prop,VLOOKUP(K60,HersCou,8),"")),"",IF(D60=prop,VLOOKUP(K60,HersCou,8),""))</f>
        <v/>
      </c>
      <c r="H60" s="343"/>
      <c r="I60" s="153" t="str">
        <f>IF(ISERROR(IF(OR(D60=prop,D60=loc),VLOOKUP(K60,HersCou,10),"")),"",IF(OR(D60=prop,D60=loc),VLOOKUP(K60,HersCou,10),""))</f>
        <v/>
      </c>
      <c r="J60" s="528" t="str">
        <f>IF(ISERROR(IF(OR(D60=prop,D60=loc),VLOOKUP(K60,HersCou,9),"")),"",IF(OR(D60=prop,D60=loc),VLOOKUP(K60,HersCou,9),""))</f>
        <v/>
      </c>
      <c r="K60" s="140" t="str">
        <f>IF(ISERROR(INDEX(Nhers,MATCH(C60,hers,0),1)),"",INDEX(Nhers,MATCH(C60,hers,0),1))</f>
        <v/>
      </c>
      <c r="L60" s="140"/>
      <c r="M60" s="140"/>
      <c r="N60" s="140"/>
    </row>
    <row r="61" spans="1:14">
      <c r="A61" s="36"/>
      <c r="B61" s="156" t="str">
        <f>Text!A$73</f>
        <v>passages</v>
      </c>
      <c r="C61" s="172"/>
      <c r="D61" s="184"/>
      <c r="E61" s="351"/>
      <c r="F61" s="171"/>
      <c r="G61" s="171"/>
      <c r="H61" s="221"/>
      <c r="I61" s="497"/>
      <c r="J61" s="361"/>
      <c r="K61" s="140"/>
      <c r="L61" s="140"/>
      <c r="M61" s="140"/>
      <c r="N61" s="140"/>
    </row>
    <row r="62" spans="1:14">
      <c r="A62" s="36"/>
      <c r="B62" s="168" t="str">
        <f>Text!A$74</f>
        <v>tracteur</v>
      </c>
      <c r="C62" s="169"/>
      <c r="D62" s="519"/>
      <c r="E62" s="357">
        <v>1</v>
      </c>
      <c r="F62" s="170" t="str">
        <f>IF(ISERROR(IF(D62=prop,VLOOKUP(K62,tracCou,5),IF(D62=loc,VLOOKUP(K62,tracCou,7),0))*IF(D63=entr,0,VLOOKUP(K63,SarclCou,10,0))),"",IF(D62=prop,VLOOKUP(K62,tracCou,5),IF(D62=loc,VLOOKUP(K62,tracCou,7),0))*IF(D63=entr,0,VLOOKUP(K63,SarclCou,10,0)))</f>
        <v/>
      </c>
      <c r="G62" s="526" t="str">
        <f>IF(ISERROR(IF(D62=prop,VLOOKUP(K62,tracCou,6),0)*IF(D63=entr,0,VLOOKUP(K63,SarclCou,10,0))),"",IF(D62=prop,VLOOKUP(K62,tracCou,6),0)*IF(D63=entr,0,VLOOKUP(K63,SarclCou,10,0)))</f>
        <v/>
      </c>
      <c r="H62" s="217"/>
      <c r="I62" s="345"/>
      <c r="J62" s="532"/>
      <c r="K62" s="140" t="str">
        <f>IF(ISERROR(INDEX(ntrac,MATCH('Maschinen-Machines'!C62,tract,0),1)),"",INDEX(ntrac,MATCH('Maschinen-Machines'!C62,tract,0),1))</f>
        <v/>
      </c>
      <c r="L62" s="140"/>
      <c r="M62" s="140"/>
      <c r="N62" s="140"/>
    </row>
    <row r="63" spans="1:14">
      <c r="A63" s="36"/>
      <c r="B63" s="150" t="str">
        <f>Text!A80</f>
        <v>sarcleuse</v>
      </c>
      <c r="C63" s="151"/>
      <c r="D63" s="523"/>
      <c r="E63" s="362">
        <v>1</v>
      </c>
      <c r="F63" s="152" t="str">
        <f>IF(ISERROR(IF(D63=prop,VLOOKUP(K63,SarclCou,6,0),IF(D63=loc,VLOOKUP(K63,SarclCou,7,0),IF(D63=entr,VLOOKUP(K63,SarclCou,11,0),"")))),"",IF(D63=prop,VLOOKUP(K63,SarclCou,6,0),IF(D63=loc,VLOOKUP(K63,SarclCou,7,0),IF(D63=entr,VLOOKUP(K63,SarclCou,11,0),""))))</f>
        <v/>
      </c>
      <c r="G63" s="528" t="str">
        <f>IF(ISERROR(IF(D63=prop,VLOOKUP(K63,SarclCou,8),"")),"",IF(D63=prop,VLOOKUP(K63,SarclCou,8),""))</f>
        <v/>
      </c>
      <c r="H63" s="343"/>
      <c r="I63" s="153" t="str">
        <f>IF(ISERROR(IF(OR(D63=prop,D63=loc),VLOOKUP(K63,SarclCou,10),"")),"",IF(OR(D63=prop,D63=loc),VLOOKUP(K63,SarclCou,10),""))</f>
        <v/>
      </c>
      <c r="J63" s="528" t="str">
        <f>IF(ISERROR(IF(OR(D63=prop,D63=loc),VLOOKUP(K63,SarclCou,9),"")),"",IF(OR(D63=prop,D63=loc),VLOOKUP(K63,SarclCou,9),""))</f>
        <v/>
      </c>
      <c r="K63" s="140" t="str">
        <f>IF(ISERROR(INDEX(nSarcl,MATCH(C63,sarcl,0),1)),"",INDEX(nSarcl,MATCH(C63,sarcl,0),1))</f>
        <v/>
      </c>
      <c r="L63" s="140"/>
      <c r="M63" s="140"/>
      <c r="N63" s="140"/>
    </row>
    <row r="64" spans="1:14">
      <c r="A64" s="36"/>
      <c r="B64" s="156" t="str">
        <f>Text!A$73</f>
        <v>passages</v>
      </c>
      <c r="C64" s="172"/>
      <c r="D64" s="184"/>
      <c r="E64" s="351"/>
      <c r="F64" s="171"/>
      <c r="G64" s="171"/>
      <c r="H64" s="221"/>
      <c r="I64" s="497"/>
      <c r="J64" s="361"/>
      <c r="K64" s="140"/>
      <c r="L64" s="140"/>
      <c r="M64" s="140"/>
      <c r="N64" s="140"/>
    </row>
    <row r="65" spans="1:14">
      <c r="A65" s="36"/>
      <c r="B65" s="168" t="str">
        <f>Text!A81</f>
        <v>robot de terrain</v>
      </c>
      <c r="C65" s="185"/>
      <c r="D65" s="186"/>
      <c r="E65" s="352"/>
      <c r="F65" s="187"/>
      <c r="G65" s="187"/>
      <c r="H65" s="225"/>
      <c r="I65" s="188"/>
      <c r="J65" s="187"/>
      <c r="K65" s="140"/>
      <c r="L65" s="140"/>
      <c r="M65" s="140"/>
      <c r="N65" s="140"/>
    </row>
    <row r="66" spans="1:14">
      <c r="A66" s="36"/>
      <c r="B66" s="195" t="s">
        <v>10</v>
      </c>
      <c r="C66" s="175"/>
      <c r="D66" s="189"/>
      <c r="E66" s="353"/>
      <c r="F66" s="176"/>
      <c r="G66" s="176"/>
      <c r="H66" s="223"/>
      <c r="I66" s="177"/>
      <c r="J66" s="176"/>
      <c r="K66" s="140"/>
      <c r="L66" s="140"/>
      <c r="M66" s="140"/>
      <c r="N66" s="140"/>
    </row>
    <row r="67" spans="1:14" ht="13.8" thickBot="1">
      <c r="A67" s="198"/>
      <c r="B67" s="196" t="s">
        <v>10</v>
      </c>
      <c r="C67" s="178"/>
      <c r="D67" s="173"/>
      <c r="E67" s="354"/>
      <c r="F67" s="190"/>
      <c r="G67" s="190"/>
      <c r="H67" s="222"/>
      <c r="I67" s="191"/>
      <c r="J67" s="190"/>
      <c r="K67" s="140"/>
      <c r="L67" s="140"/>
      <c r="M67" s="140"/>
      <c r="N67" s="140"/>
    </row>
    <row r="68" spans="1:14">
      <c r="A68" s="160" t="str">
        <f>Text!A$98</f>
        <v>Total</v>
      </c>
      <c r="B68" s="163"/>
      <c r="C68" s="165"/>
      <c r="D68" s="166"/>
      <c r="E68" s="359">
        <v>1</v>
      </c>
      <c r="F68" s="164">
        <f>SUM(F53:F54)*$C55+SUM(F56:F57)*$C58+SUM(F59:F60)*$C61+SUM(F62:F63)*$C64+SUM(F65:F67)</f>
        <v>0</v>
      </c>
      <c r="G68" s="529">
        <f>SUM(G53:G54)*$C55+SUM(G56:G57)*$C58+SUM(G59:G60)*$C61+SUM(G62:G63)*$C64+SUM(G65:G67)</f>
        <v>0</v>
      </c>
      <c r="H68" s="219"/>
      <c r="I68" s="164">
        <f>SUM(I53:I54)*$C55+SUM(I56:I57)*$C58+SUM(I59:I60)*$C61+SUM(I62:I63)*$C64+SUM(I65:I67)</f>
        <v>0</v>
      </c>
      <c r="J68" s="529">
        <f>SUM(J53:J54)*$C55+SUM(J56:J57)*$C58+SUM(J59:J60)*$C61+SUM(J62:J63)*$C64+SUM(J65:J67)</f>
        <v>0</v>
      </c>
      <c r="K68" s="140"/>
      <c r="L68" s="140"/>
      <c r="M68" s="140"/>
      <c r="N68" s="140"/>
    </row>
    <row r="69" spans="1:14">
      <c r="A69" s="136" t="str">
        <f>Text!A$99</f>
        <v>dont propre</v>
      </c>
      <c r="B69" s="137"/>
      <c r="C69" s="137"/>
      <c r="D69" s="138" t="str">
        <f>prop</f>
        <v>P</v>
      </c>
      <c r="E69" s="360">
        <v>1</v>
      </c>
      <c r="F69" s="139">
        <f>SUMIF($D$53:$D$54,$D69,F$53:F$54)*$C$55+SUMIF($D$56:$D$57,$D69,F$56:F$57)*$C$58+SUMIF($D$59:$D$60,$D69,F$59:F$60)*$C$61+SUMIF($D$62:$D$63,$D69,F$62:F$63)*$C$64</f>
        <v>0</v>
      </c>
      <c r="G69" s="139">
        <f>SUMIF($D$53:$D$54,$D69,G$53:G$54)*$C$55+SUMIF($D$56:$D$57,$D69,G$56:G$57)*$C$58+SUMIF($D$59:$D$60,$D69,G$59:G$60)*$C$61+SUMIF($D$62:$D$63,$D69,G$62:G$63)*$C$64</f>
        <v>0</v>
      </c>
      <c r="H69" s="220"/>
      <c r="I69" s="135"/>
      <c r="J69" s="534"/>
      <c r="K69" s="140"/>
      <c r="L69" s="140"/>
      <c r="M69" s="140"/>
      <c r="N69" s="140"/>
    </row>
    <row r="70" spans="1:14">
      <c r="A70" s="136" t="str">
        <f>Text!A$100</f>
        <v>dont location</v>
      </c>
      <c r="B70" s="137"/>
      <c r="C70" s="137"/>
      <c r="D70" s="138" t="str">
        <f>loc</f>
        <v>L</v>
      </c>
      <c r="E70" s="360">
        <v>1</v>
      </c>
      <c r="F70" s="139">
        <f t="shared" ref="F70:G71" si="7">SUMIF($D$53:$D$54,$D70,F$53:F$54)*$C$55+SUMIF($D$56:$D$57,$D70,F$56:F$57)*$C$58+SUMIF($D$59:$D$60,$D70,F$59:F$60)*$C$61+SUMIF($D$62:$D$63,$D70,F$62:F$63)*$C$64</f>
        <v>0</v>
      </c>
      <c r="G70" s="139">
        <f t="shared" si="7"/>
        <v>0</v>
      </c>
      <c r="H70" s="220"/>
      <c r="I70" s="135"/>
      <c r="J70" s="534"/>
      <c r="K70" s="140"/>
      <c r="L70" s="140"/>
      <c r="M70" s="140"/>
      <c r="N70" s="140"/>
    </row>
    <row r="71" spans="1:14">
      <c r="A71" s="136" t="str">
        <f>Text!A$101</f>
        <v>dont entreprise</v>
      </c>
      <c r="B71" s="137"/>
      <c r="C71" s="137"/>
      <c r="D71" s="138" t="str">
        <f>entr</f>
        <v>E</v>
      </c>
      <c r="E71" s="360">
        <v>1</v>
      </c>
      <c r="F71" s="139">
        <f t="shared" si="7"/>
        <v>0</v>
      </c>
      <c r="G71" s="139">
        <f t="shared" si="7"/>
        <v>0</v>
      </c>
      <c r="H71" s="220"/>
      <c r="I71" s="135"/>
      <c r="J71" s="534"/>
      <c r="K71" s="140"/>
      <c r="L71" s="140"/>
      <c r="M71" s="140"/>
      <c r="N71" s="140"/>
    </row>
    <row r="72" spans="1:14">
      <c r="A72" s="140"/>
      <c r="B72" s="141"/>
      <c r="C72" s="142"/>
      <c r="D72" s="144"/>
      <c r="E72" s="355"/>
      <c r="F72" s="143"/>
      <c r="G72" s="143"/>
      <c r="H72" s="140"/>
      <c r="I72" s="140"/>
      <c r="J72" s="143"/>
      <c r="K72" s="140"/>
      <c r="L72" s="140"/>
      <c r="M72" s="140"/>
      <c r="N72" s="140"/>
    </row>
    <row r="73" spans="1:14">
      <c r="A73" s="35" t="str">
        <f>Text!A68</f>
        <v>Récolte</v>
      </c>
      <c r="B73" s="40"/>
      <c r="C73" s="41"/>
      <c r="D73" s="129"/>
      <c r="E73" s="348" t="s">
        <v>11</v>
      </c>
      <c r="F73" s="42"/>
      <c r="G73" s="42"/>
      <c r="H73" s="140"/>
      <c r="I73" s="36"/>
      <c r="J73" s="42"/>
      <c r="K73" s="140"/>
      <c r="L73" s="140"/>
      <c r="M73" s="140"/>
      <c r="N73" s="140"/>
    </row>
    <row r="74" spans="1:14">
      <c r="A74" s="199"/>
      <c r="B74" s="339" t="str">
        <f>Text!A82</f>
        <v>Récolt. totale automot.</v>
      </c>
      <c r="C74" s="192"/>
      <c r="D74" s="524"/>
      <c r="E74" s="373">
        <f>'DB-MB'!G8/10</f>
        <v>0</v>
      </c>
      <c r="F74" s="193" t="str">
        <f>IF(ISERROR(IF(D74=prop,VLOOKUP(K74,RecCou,6,0),IF(D74=loc,VLOOKUP(K74,RecCou,7,0),IF(D74=entr,VLOOKUP(K74,RecCou,11,0),0)))*IF(MATCH(C74,rec,0)=3,'Maschinen-Machines'!E74,1)),"",IF(D74=prop,VLOOKUP(K74,RecCou,6,0),IF(D74=loc,VLOOKUP(K74,RecCou,7,0),IF(D74=entr,VLOOKUP(K74,RecCou,11,0),0)))*IF(MATCH(C74,rec,0)=3,'Maschinen-Machines'!E74,1))</f>
        <v/>
      </c>
      <c r="G74" s="530" t="str">
        <f>IF(ISERROR(IF(D74=prop,VLOOKUP(K74,RecCou,8),0)*IF(MATCH(C74,rec,0)=3,'Maschinen-Machines'!E74,1)),"",IF(D74=prop,VLOOKUP(K74,RecCou,8),0)*IF(MATCH(C74,rec,0)=3,'Maschinen-Machines'!E74,1))</f>
        <v/>
      </c>
      <c r="H74" s="344"/>
      <c r="I74" s="159" t="str">
        <f>IF(ISERROR(IF(OR(D74=prop,D74=loc),VLOOKUP(K74,RecCou,10),0)*IF(MATCH(C74,rec,0)=3,'Maschinen-Machines'!E74,1)),"",IF(OR(D74=prop,D74=loc),VLOOKUP(K74,RecCou,10),0)*IF(MATCH(C74,rec,0)=3,'Maschinen-Machines'!E74,1))</f>
        <v/>
      </c>
      <c r="J74" s="527" t="str">
        <f>IF(ISERROR(IF(OR(D74=prop,D74=loc),VLOOKUP(K74,RecCou,9),0)*IF(MATCH(C74,rec,0)=3,'Maschinen-Machines'!E74,1)),"",IF(OR(D74=prop,D74=loc),VLOOKUP(K74,RecCou,9),0)*IF(MATCH(C74,rec,0)=3,'Maschinen-Machines'!E74,1))</f>
        <v/>
      </c>
      <c r="K74" s="140" t="str">
        <f>IF(ISERROR(INDEX(nRec,MATCH(C74,rec,0),1)),"",INDEX(nRec,MATCH(C74,rec,0),1))</f>
        <v/>
      </c>
      <c r="L74" s="140"/>
      <c r="M74" s="140"/>
      <c r="N74" s="140"/>
    </row>
    <row r="75" spans="1:14">
      <c r="A75" s="36"/>
      <c r="B75" s="168" t="str">
        <f>Text!A$74</f>
        <v>tracteur</v>
      </c>
      <c r="C75" s="169"/>
      <c r="D75" s="519"/>
      <c r="E75" s="372">
        <f>E76</f>
        <v>0</v>
      </c>
      <c r="F75" s="170" t="str">
        <f>IF(ISERROR(IF(D75=prop,VLOOKUP(K75,tracCou,5),IF(D75=loc,VLOOKUP(K75,tracCou,7),0))*IF(D76=entr,0,VLOOKUP(K76,RecCou,10,0))*IF(MATCH(C74,rec,0)=3,'Maschinen-Machines'!E74,1)),"",IF(D75=prop,VLOOKUP(K75,tracCou,5),IF(D75=loc,VLOOKUP(K75,tracCou,7),0))*IF(D76=entr,0,VLOOKUP(K76,RecCou,10,0))*IF(MATCH(C74,rec,0)=3,'Maschinen-Machines'!E74,1))</f>
        <v/>
      </c>
      <c r="G75" s="526" t="str">
        <f>IF(ISERROR(IF(D75=prop,VLOOKUP(K75,tracCou,6),0)*IF(D76=entr,0,VLOOKUP(K76,RecCou,10,0))*IF(MATCH(C74,rec,0)=3,'Maschinen-Machines'!E74,1)),"",IF(D75=prop,VLOOKUP(K75,tracCou,6),0)*IF(D76=entr,0,VLOOKUP(K76,RecCou,10,0))*IF(MATCH(C74,rec,0)=3,'Maschinen-Machines'!E74,1))</f>
        <v/>
      </c>
      <c r="H75" s="217"/>
      <c r="I75" s="345"/>
      <c r="J75" s="532"/>
      <c r="K75" s="140" t="str">
        <f>IF(ISERROR(INDEX(ntrac,MATCH('Maschinen-Machines'!C75,tract,0),1)),"",INDEX(ntrac,MATCH('Maschinen-Machines'!C75,tract,0),1))</f>
        <v/>
      </c>
      <c r="L75" s="140"/>
      <c r="M75" s="140"/>
      <c r="N75" s="140"/>
    </row>
    <row r="76" spans="1:14">
      <c r="A76" s="36"/>
      <c r="B76" s="156" t="str">
        <f>Text!A83</f>
        <v>Récolt. totale traînée.</v>
      </c>
      <c r="C76" s="157"/>
      <c r="D76" s="520"/>
      <c r="E76" s="374">
        <v>0</v>
      </c>
      <c r="F76" s="193" t="str">
        <f>IF(ISERROR(IF(D76=prop,VLOOKUP(K76,RecCou,6,0),IF(D76=loc,VLOOKUP(K76,RecCou,7,0),IF(D76=entr,VLOOKUP(K76,RecCou,11,0),0)))*IF(MATCH(C76,rec,0)=3,'Maschinen-Machines'!E76,1)),"",IF(D76=prop,VLOOKUP(K76,RecCou,6,0),IF(D76=loc,VLOOKUP(K76,RecCou,7,0),IF(D76=entr,VLOOKUP(K76,RecCou,11,0),0)))*IF(MATCH(C76,rec,0)=3,'Maschinen-Machines'!E76,1))</f>
        <v/>
      </c>
      <c r="G76" s="530" t="str">
        <f>IF(ISERROR(IF(D76=prop,VLOOKUP(K76,RecCou,8),0)*IF(MATCH(C76,rec,0)=3,'Maschinen-Machines'!E76,1)),"",IF(D76=prop,VLOOKUP(K76,RecCou,8),0)*IF(MATCH(C76,rec,0)=3,'Maschinen-Machines'!E76,1))</f>
        <v/>
      </c>
      <c r="H76" s="344"/>
      <c r="I76" s="159" t="str">
        <f>IF(ISERROR(IF(OR(D76=prop,D76=loc),VLOOKUP(K76,RecCou,10),0)*IF(MATCH(C76,rec,0)=3,'Maschinen-Machines'!E76,1)),"",IF(OR(D76=prop,D76=loc),VLOOKUP(K76,RecCou,10),0)*IF(MATCH(C76,rec,0)=3,'Maschinen-Machines'!E76,1))</f>
        <v/>
      </c>
      <c r="J76" s="527" t="str">
        <f>IF(ISERROR(IF(OR(D76=prop,D76=loc),VLOOKUP(K76,RecCou,9),0)*IF(MATCH(C76,rec,0)=3,'Maschinen-Machines'!E76,1)),"",IF(OR(D76=prop,D76=loc),VLOOKUP(K76,RecCou,9),0)*IF(MATCH(C76,rec,0)=3,'Maschinen-Machines'!E76,1))</f>
        <v/>
      </c>
      <c r="K76" s="140" t="str">
        <f>IF(ISERROR(INDEX(nRec,MATCH(C76,rec,0),1)),"",INDEX(nRec,MATCH(C76,rec,0),1))</f>
        <v/>
      </c>
      <c r="L76" s="140"/>
      <c r="M76" s="140"/>
      <c r="N76" s="140"/>
    </row>
    <row r="77" spans="1:14" ht="13.8" thickBot="1">
      <c r="A77" s="198"/>
      <c r="B77" s="194" t="s">
        <v>10</v>
      </c>
      <c r="C77" s="131"/>
      <c r="D77" s="131"/>
      <c r="E77" s="131"/>
      <c r="F77" s="132"/>
      <c r="G77" s="132"/>
      <c r="H77" s="140"/>
      <c r="I77" s="133"/>
      <c r="J77" s="132"/>
      <c r="K77" s="140"/>
      <c r="L77" s="140"/>
      <c r="M77" s="140"/>
      <c r="N77" s="140"/>
    </row>
    <row r="78" spans="1:14">
      <c r="A78" s="160" t="str">
        <f>Text!A$98</f>
        <v>Total</v>
      </c>
      <c r="B78" s="161"/>
      <c r="C78" s="167"/>
      <c r="D78" s="167"/>
      <c r="E78" s="359">
        <v>1</v>
      </c>
      <c r="F78" s="164">
        <f>SUM(F74:F77)</f>
        <v>0</v>
      </c>
      <c r="G78" s="529">
        <f>SUM(G74:G77)</f>
        <v>0</v>
      </c>
      <c r="H78" s="219"/>
      <c r="I78" s="164">
        <f>SUM(I74:I77)</f>
        <v>0</v>
      </c>
      <c r="J78" s="529">
        <f>SUM(J74:J77)</f>
        <v>0</v>
      </c>
      <c r="K78" s="140"/>
      <c r="L78" s="140"/>
      <c r="M78" s="140"/>
      <c r="N78" s="140"/>
    </row>
    <row r="79" spans="1:14">
      <c r="A79" s="136" t="str">
        <f>Text!A$99</f>
        <v>dont propre</v>
      </c>
      <c r="B79" s="137"/>
      <c r="C79" s="137"/>
      <c r="D79" s="138" t="str">
        <f>prop</f>
        <v>P</v>
      </c>
      <c r="E79" s="360">
        <v>1</v>
      </c>
      <c r="F79" s="139">
        <f>SUMIF($D$74:$D$76,$D79,F$74:F$76)</f>
        <v>0</v>
      </c>
      <c r="G79" s="139">
        <f>SUMIF($D$74:$D$76,$D79,G$74:G$76)</f>
        <v>0</v>
      </c>
      <c r="H79" s="220"/>
      <c r="I79" s="135"/>
      <c r="J79" s="534"/>
      <c r="K79" s="140"/>
      <c r="L79" s="140"/>
      <c r="M79" s="140"/>
      <c r="N79" s="140"/>
    </row>
    <row r="80" spans="1:14">
      <c r="A80" s="136" t="str">
        <f>Text!A$100</f>
        <v>dont location</v>
      </c>
      <c r="B80" s="137"/>
      <c r="C80" s="137"/>
      <c r="D80" s="138" t="str">
        <f>loc</f>
        <v>L</v>
      </c>
      <c r="E80" s="360">
        <v>1</v>
      </c>
      <c r="F80" s="139">
        <f t="shared" ref="F80:G81" si="8">SUMIF($D$74:$D$76,$D80,F$74:F$76)</f>
        <v>0</v>
      </c>
      <c r="G80" s="139">
        <f t="shared" si="8"/>
        <v>0</v>
      </c>
      <c r="H80" s="220"/>
      <c r="I80" s="135"/>
      <c r="J80" s="534"/>
      <c r="K80" s="140"/>
      <c r="L80" s="140"/>
      <c r="M80" s="140"/>
      <c r="N80" s="140"/>
    </row>
    <row r="81" spans="1:14">
      <c r="A81" s="136" t="str">
        <f>Text!A$101</f>
        <v>dont entreprise</v>
      </c>
      <c r="B81" s="137"/>
      <c r="C81" s="137"/>
      <c r="D81" s="138" t="str">
        <f>entr</f>
        <v>E</v>
      </c>
      <c r="E81" s="360">
        <v>1</v>
      </c>
      <c r="F81" s="139">
        <f t="shared" si="8"/>
        <v>0</v>
      </c>
      <c r="G81" s="139">
        <f t="shared" si="8"/>
        <v>0</v>
      </c>
      <c r="H81" s="220"/>
      <c r="I81" s="135"/>
      <c r="J81" s="534"/>
      <c r="K81" s="140"/>
      <c r="L81" s="140"/>
      <c r="M81" s="140"/>
      <c r="N81" s="140"/>
    </row>
    <row r="82" spans="1:14">
      <c r="A82" s="140"/>
      <c r="B82" s="141"/>
      <c r="C82" s="142"/>
      <c r="D82" s="142"/>
      <c r="E82" s="143"/>
      <c r="F82" s="143"/>
      <c r="G82" s="143"/>
      <c r="H82" s="140"/>
      <c r="I82" s="140"/>
      <c r="J82" s="140"/>
      <c r="K82" s="140"/>
      <c r="L82" s="140"/>
      <c r="M82" s="140"/>
      <c r="N82" s="140"/>
    </row>
    <row r="83" spans="1:14">
      <c r="A83" s="140"/>
      <c r="B83" s="141"/>
      <c r="C83" s="142"/>
      <c r="D83" s="142"/>
      <c r="E83" s="143"/>
      <c r="F83" s="143"/>
      <c r="G83" s="143"/>
      <c r="H83" s="140"/>
      <c r="I83" s="140"/>
      <c r="J83" s="140"/>
      <c r="K83" s="140"/>
      <c r="L83" s="140"/>
      <c r="M83" s="140"/>
      <c r="N83" s="140"/>
    </row>
    <row r="84" spans="1:14">
      <c r="A84" s="35" t="str">
        <f>Text!A69</f>
        <v>travail manuel</v>
      </c>
      <c r="B84" s="40"/>
      <c r="C84" s="43" t="str">
        <f>Text!A112</f>
        <v>Total heures travaux manuel</v>
      </c>
      <c r="D84" s="43" t="str">
        <f>Text!A113</f>
        <v>Nombre de travailleurs</v>
      </c>
      <c r="E84" s="356"/>
      <c r="F84" s="143"/>
      <c r="G84" s="143"/>
      <c r="H84" s="140"/>
      <c r="I84" s="140"/>
      <c r="J84" s="140"/>
      <c r="K84" s="140"/>
      <c r="L84" s="140"/>
      <c r="M84" s="140"/>
      <c r="N84" s="140"/>
    </row>
    <row r="85" spans="1:14">
      <c r="A85" s="36"/>
      <c r="B85" s="40" t="str">
        <f>Text!A84</f>
        <v>Éclaircir</v>
      </c>
      <c r="C85" s="200"/>
      <c r="D85" s="200"/>
      <c r="E85" s="132"/>
      <c r="F85" s="143"/>
      <c r="G85" s="143"/>
      <c r="H85" s="140"/>
      <c r="I85" s="140"/>
      <c r="J85" s="140"/>
      <c r="K85" s="140"/>
      <c r="L85" s="140"/>
      <c r="M85" s="140"/>
      <c r="N85" s="140"/>
    </row>
    <row r="86" spans="1:14">
      <c r="A86" s="36"/>
      <c r="B86" s="40" t="str">
        <f>Text!A85</f>
        <v>Sarclage manuel</v>
      </c>
      <c r="C86" s="201"/>
      <c r="D86" s="201"/>
      <c r="E86" s="132"/>
      <c r="F86" s="143"/>
      <c r="G86" s="143"/>
      <c r="H86" s="140"/>
      <c r="I86" s="140"/>
      <c r="J86" s="140"/>
      <c r="K86" s="140"/>
      <c r="L86" s="140"/>
      <c r="M86" s="140"/>
      <c r="N86" s="140"/>
    </row>
    <row r="87" spans="1:14">
      <c r="A87" s="36"/>
      <c r="B87" s="40" t="str">
        <f>Text!A86</f>
        <v>Controles aux champs</v>
      </c>
      <c r="C87" s="202"/>
      <c r="D87" s="202"/>
      <c r="E87" s="132"/>
      <c r="F87" s="143"/>
      <c r="G87" s="143"/>
      <c r="H87" s="140"/>
      <c r="I87" s="140"/>
      <c r="J87" s="140"/>
      <c r="K87" s="140"/>
      <c r="L87" s="140"/>
      <c r="M87" s="140"/>
      <c r="N87" s="140"/>
    </row>
    <row r="88" spans="1:14">
      <c r="A88" s="140"/>
      <c r="B88" s="141"/>
      <c r="C88" s="142"/>
      <c r="D88" s="142"/>
      <c r="E88" s="143"/>
      <c r="F88" s="143"/>
      <c r="G88" s="143"/>
      <c r="H88" s="140"/>
      <c r="I88" s="140"/>
      <c r="J88" s="140"/>
      <c r="K88" s="140"/>
      <c r="L88" s="140"/>
      <c r="M88" s="140"/>
      <c r="N88" s="140"/>
    </row>
    <row r="89" spans="1:14">
      <c r="A89" s="140"/>
      <c r="B89" s="416" t="str">
        <f>Text!A87</f>
        <v xml:space="preserve">Autres travaux </v>
      </c>
      <c r="C89" s="142"/>
      <c r="D89" s="142"/>
      <c r="E89" s="143"/>
      <c r="F89" s="143"/>
      <c r="G89" s="143"/>
      <c r="H89" s="140"/>
      <c r="I89" s="140"/>
      <c r="J89" s="140"/>
      <c r="K89" s="140"/>
      <c r="L89" s="140"/>
      <c r="M89" s="140"/>
      <c r="N89" s="140"/>
    </row>
    <row r="90" spans="1:14">
      <c r="A90" s="36"/>
      <c r="B90" s="40" t="str">
        <f>Text!A88</f>
        <v>autres travaux (planif., admin etc.)</v>
      </c>
      <c r="C90" s="203"/>
      <c r="D90" s="203"/>
      <c r="E90" s="132"/>
      <c r="F90" s="143"/>
      <c r="G90" s="143"/>
      <c r="H90" s="140"/>
      <c r="I90" s="140"/>
      <c r="J90" s="140"/>
      <c r="K90" s="140"/>
      <c r="L90" s="140"/>
      <c r="M90" s="140"/>
      <c r="N90" s="140"/>
    </row>
    <row r="91" spans="1:14">
      <c r="A91" s="36"/>
      <c r="B91" s="194" t="s">
        <v>10</v>
      </c>
      <c r="C91" s="178"/>
      <c r="D91" s="178"/>
      <c r="E91" s="132"/>
      <c r="F91" s="143"/>
      <c r="G91" s="143"/>
      <c r="H91" s="140"/>
      <c r="I91" s="140"/>
      <c r="J91" s="140"/>
      <c r="K91" s="140"/>
      <c r="L91" s="140"/>
      <c r="M91" s="140"/>
      <c r="N91" s="140"/>
    </row>
    <row r="92" spans="1:14">
      <c r="A92" s="140"/>
      <c r="B92" s="141"/>
      <c r="C92" s="142"/>
      <c r="D92" s="142"/>
      <c r="E92" s="143"/>
      <c r="F92" s="143"/>
      <c r="G92" s="143"/>
      <c r="H92" s="140"/>
      <c r="I92" s="140"/>
      <c r="J92" s="140"/>
      <c r="K92" s="140"/>
      <c r="L92" s="140"/>
      <c r="M92" s="140"/>
      <c r="N92" s="140"/>
    </row>
    <row r="93" spans="1:14">
      <c r="A93" s="140"/>
      <c r="B93" s="141"/>
      <c r="C93" s="142"/>
      <c r="D93" s="142"/>
      <c r="E93" s="143"/>
      <c r="F93" s="143"/>
      <c r="G93" s="143"/>
      <c r="H93" s="140"/>
      <c r="I93" s="140"/>
      <c r="J93" s="140"/>
      <c r="K93" s="140"/>
      <c r="L93" s="140"/>
      <c r="M93" s="140"/>
      <c r="N93" s="140"/>
    </row>
    <row r="94" spans="1:14" ht="13.8">
      <c r="A94" s="47" t="str">
        <f>Text!A70</f>
        <v>fumure organique  fumier / purin de la ferme / engrais organiques / engrais biogaz / compost etc.</v>
      </c>
      <c r="G94" s="39"/>
      <c r="H94" s="140"/>
      <c r="K94" s="140"/>
      <c r="L94" s="140"/>
      <c r="M94" s="140"/>
      <c r="N94" s="140"/>
    </row>
    <row r="95" spans="1:14">
      <c r="A95" s="140"/>
      <c r="B95" s="141"/>
      <c r="C95" s="142"/>
      <c r="D95" s="142"/>
      <c r="E95" s="143"/>
      <c r="F95" s="143"/>
      <c r="G95" s="143"/>
      <c r="H95" s="140"/>
      <c r="I95" s="140"/>
      <c r="J95" s="140"/>
      <c r="K95" s="140"/>
      <c r="L95" s="140"/>
      <c r="M95" s="140"/>
      <c r="N95" s="140"/>
    </row>
    <row r="96" spans="1:14">
      <c r="A96" s="140"/>
      <c r="B96" s="46" t="str">
        <f>Text!A89</f>
        <v>typ d'engrais</v>
      </c>
      <c r="C96" s="204"/>
      <c r="D96" s="142"/>
      <c r="E96" s="143"/>
      <c r="F96" s="143"/>
      <c r="G96" s="143"/>
      <c r="H96" s="140"/>
      <c r="I96" s="140"/>
      <c r="J96" s="140"/>
      <c r="K96" s="140"/>
      <c r="L96" s="140"/>
      <c r="M96" s="140"/>
      <c r="N96" s="140"/>
    </row>
    <row r="97" spans="1:14">
      <c r="A97" s="140"/>
      <c r="B97" s="46" t="str">
        <f>Text!A90</f>
        <v>quantité par ha</v>
      </c>
      <c r="C97" s="205"/>
      <c r="D97" s="142"/>
      <c r="E97" s="143"/>
      <c r="F97" s="143"/>
      <c r="G97" s="143"/>
      <c r="H97" s="140"/>
      <c r="I97" s="140"/>
      <c r="J97" s="140"/>
      <c r="K97" s="140"/>
      <c r="L97" s="140"/>
      <c r="M97" s="140"/>
      <c r="N97" s="140"/>
    </row>
    <row r="98" spans="1:14">
      <c r="A98" s="140"/>
      <c r="B98" s="141"/>
      <c r="C98" s="142"/>
      <c r="D98" s="142"/>
      <c r="E98" s="143"/>
      <c r="F98" s="143"/>
      <c r="G98" s="143"/>
      <c r="H98" s="140"/>
      <c r="I98" s="140"/>
      <c r="J98" s="140"/>
      <c r="K98" s="140"/>
      <c r="L98" s="140"/>
      <c r="M98" s="140"/>
      <c r="N98" s="140"/>
    </row>
    <row r="99" spans="1:14" s="34" customFormat="1" ht="41.4">
      <c r="A99" s="413"/>
      <c r="B99" s="409" t="str">
        <f>Text!A114</f>
        <v>Epandage</v>
      </c>
      <c r="C99" s="411" t="str">
        <f>C4</f>
        <v>kw / type de machine</v>
      </c>
      <c r="D99" s="411" t="str">
        <f t="shared" ref="D99:G99" si="9">D4</f>
        <v>Utilisation (propre P / location L / Entreprise E)</v>
      </c>
      <c r="E99" s="411" t="str">
        <f>Text!A232</f>
        <v>Quantité / ha</v>
      </c>
      <c r="F99" s="412" t="str">
        <f t="shared" si="9"/>
        <v>Coûts variables
(ou Entreprise)</v>
      </c>
      <c r="G99" s="411" t="str">
        <f t="shared" si="9"/>
        <v>Coûts fixes</v>
      </c>
      <c r="H99" s="414"/>
      <c r="I99" s="415" t="str">
        <f>I4</f>
        <v>Th</v>
      </c>
      <c r="J99" s="415" t="str">
        <f>J4</f>
        <v>MOh</v>
      </c>
      <c r="K99" s="145"/>
      <c r="L99" s="145"/>
      <c r="M99" s="145"/>
      <c r="N99" s="145"/>
    </row>
    <row r="100" spans="1:14" s="45" customFormat="1">
      <c r="A100" s="211"/>
      <c r="B100" s="206" t="str">
        <f>Text!A$74</f>
        <v>tracteur</v>
      </c>
      <c r="C100" s="169"/>
      <c r="D100" s="519"/>
      <c r="E100" s="369">
        <f>E101</f>
        <v>0</v>
      </c>
      <c r="F100" s="170" t="str">
        <f>IF(ISERROR(IF(D100=prop,VLOOKUP(K100,tracCou,5),IF(D100=loc,VLOOKUP(K100,tracCou,7),0))*IF(D101=entr,0,VLOOKUP(K101,FumLisCou,10,0))*E100),"",IF(D100=prop,VLOOKUP(K100,tracCou,5),IF(D100=loc,VLOOKUP(K100,tracCou,7),0))*IF(D101=entr,0,VLOOKUP(K101,FumLisCou,10,0))*E100)</f>
        <v/>
      </c>
      <c r="G100" s="526" t="str">
        <f>IF(ISERROR(IF(D100=prop,VLOOKUP(K100,tracCou,6),0)*IF(D101=entr,0,VLOOKUP(K101,FumLisCou,10,0))*E100),"",IF(D100=prop,VLOOKUP(K100,tracCou,6),0)*IF(D101=entr,0,VLOOKUP(K101,FumLisCou,10,0))*E100)</f>
        <v/>
      </c>
      <c r="H100" s="217"/>
      <c r="I100" s="345"/>
      <c r="J100" s="345"/>
      <c r="K100" s="140" t="str">
        <f>IF(ISERROR(INDEX(ntrac,MATCH('Maschinen-Machines'!C100,tract,0),1)),"",INDEX(ntrac,MATCH('Maschinen-Machines'!C100,tract,0),1))</f>
        <v/>
      </c>
      <c r="L100" s="147"/>
      <c r="M100" s="147"/>
      <c r="N100" s="147"/>
    </row>
    <row r="101" spans="1:14" s="45" customFormat="1">
      <c r="A101" s="44"/>
      <c r="B101" s="207" t="str">
        <f>Text!A$75</f>
        <v>machine</v>
      </c>
      <c r="C101" s="208"/>
      <c r="D101" s="520"/>
      <c r="E101" s="370"/>
      <c r="F101" s="158" t="str">
        <f>IF(ISERROR(IF(D101=prop,VLOOKUP(K101,FumLisCou,6,0),IF(D101=loc,VLOOKUP(K101,FumLisCou,7,0),IF(D101=entr,VLOOKUP(K101,FumLisCou,11,0),"")))*E101),"",IF(D101=prop,VLOOKUP(K101,FumLisCou,6,0),IF(D101=loc,VLOOKUP(K101,FumLisCou,7,0),IF(D101=entr,VLOOKUP(K101,FumLisCou,11,0),"")))*E101)</f>
        <v/>
      </c>
      <c r="G101" s="527" t="str">
        <f>IF(ISERROR(IF(D101=prop,VLOOKUP(K101,FumLisCou,8),"")*E101),"",IF(D101=prop,VLOOKUP(K101,FumLisCou,8),"")*E101)</f>
        <v/>
      </c>
      <c r="H101" s="218"/>
      <c r="I101" s="159" t="str">
        <f>IF(ISERROR(IF(OR(D101=prop,D101=loc),VLOOKUP(K101,FumLisCou,10),"")*E101),"",IF(OR(D101=prop,D101=loc),VLOOKUP(K101,FumLisCou,10),"")*E101)</f>
        <v/>
      </c>
      <c r="J101" s="531" t="str">
        <f>IF(ISERROR(IF(OR(D101=prop,D101=loc),VLOOKUP(K101,FumLisCou,9),"")*E101),"",IF(OR(D101=prop,D101=loc),VLOOKUP(K101,FumLisCou,9),"")*E101)</f>
        <v/>
      </c>
      <c r="K101" s="140" t="str">
        <f>IF(ISERROR(INDEX(nFumLis,MATCH(C101,FumLis,0),1)),"",INDEX(nFumLis,MATCH(C101,FumLis,0),1))</f>
        <v/>
      </c>
      <c r="L101" s="147"/>
      <c r="M101" s="147"/>
      <c r="N101" s="147"/>
    </row>
    <row r="102" spans="1:14" s="45" customFormat="1">
      <c r="A102" s="44"/>
      <c r="B102" s="206" t="str">
        <f>Text!A$74</f>
        <v>tracteur</v>
      </c>
      <c r="C102" s="169"/>
      <c r="D102" s="519"/>
      <c r="E102" s="369">
        <f>E103</f>
        <v>0</v>
      </c>
      <c r="F102" s="170" t="str">
        <f>IF(ISERROR(IF(D102=prop,VLOOKUP(K102,tracCou,5),IF(D102=loc,VLOOKUP(K102,tracCou,7),0))*IF(D103=entr,0,VLOOKUP(K103,FumLisCou,10,0))*E102),"",IF(D102=prop,VLOOKUP(K102,tracCou,5),IF(D102=loc,VLOOKUP(K102,tracCou,7),0))*IF(D103=entr,0,VLOOKUP(K103,FumLisCou,10,0))*E102)</f>
        <v/>
      </c>
      <c r="G102" s="526" t="str">
        <f>IF(ISERROR(IF(D102=prop,VLOOKUP(K102,tracCou,6),0)*IF(D103=entr,0,VLOOKUP(K103,FumLisCou,10,0))*E102),"",IF(D102=prop,VLOOKUP(K102,tracCou,6),0)*IF(D103=entr,0,VLOOKUP(K103,FumLisCou,10,0))*E102)</f>
        <v/>
      </c>
      <c r="H102" s="217"/>
      <c r="I102" s="345"/>
      <c r="J102" s="345"/>
      <c r="K102" s="140" t="str">
        <f>IF(ISERROR(INDEX(ntrac,MATCH('Maschinen-Machines'!C102,tract,0),1)),"",INDEX(ntrac,MATCH('Maschinen-Machines'!C102,tract,0),1))</f>
        <v/>
      </c>
      <c r="L102" s="147"/>
      <c r="M102" s="147"/>
      <c r="N102" s="147"/>
    </row>
    <row r="103" spans="1:14" s="45" customFormat="1">
      <c r="A103" s="44"/>
      <c r="B103" s="207" t="str">
        <f>Text!A$75</f>
        <v>machine</v>
      </c>
      <c r="C103" s="208"/>
      <c r="D103" s="520"/>
      <c r="E103" s="370"/>
      <c r="F103" s="158" t="str">
        <f>IF(ISERROR(IF(D103=prop,VLOOKUP(K103,FumLisCou,6,0),IF(D103=loc,VLOOKUP(K103,FumLisCou,7,0),IF(D103=entr,VLOOKUP(K103,FumLisCou,11,0),"")))*E103),"",IF(D103=prop,VLOOKUP(K103,FumLisCou,6,0),IF(D103=loc,VLOOKUP(K103,FumLisCou,7,0),IF(D103=entr,VLOOKUP(K103,FumLisCou,11,0),"")))*E103)</f>
        <v/>
      </c>
      <c r="G103" s="527" t="str">
        <f>IF(ISERROR(IF(D103=prop,VLOOKUP(K103,FumLisCou,8),"")*E103),"",IF(D103=prop,VLOOKUP(K103,FumLisCou,8),"")*E103)</f>
        <v/>
      </c>
      <c r="H103" s="218"/>
      <c r="I103" s="159" t="str">
        <f>IF(ISERROR(IF(OR(D103=prop,D103=loc),VLOOKUP(K103,FumLisCou,10),"")*E103),"",IF(OR(D103=prop,D103=loc),VLOOKUP(K103,FumLisCou,10),"")*E103)</f>
        <v/>
      </c>
      <c r="J103" s="531" t="str">
        <f>IF(ISERROR(IF(OR(D103=prop,D103=loc),VLOOKUP(K103,FumLisCou,9),"")*E103),"",IF(OR(D103=prop,D103=loc),VLOOKUP(K103,FumLisCou,9),"")*E103)</f>
        <v/>
      </c>
      <c r="K103" s="140" t="str">
        <f>IF(ISERROR(INDEX(nFumLis,MATCH(C103,FumLis,0),1)),"",INDEX(nFumLis,MATCH(C103,FumLis,0),1))</f>
        <v/>
      </c>
      <c r="L103" s="147"/>
      <c r="M103" s="147"/>
      <c r="N103" s="147"/>
    </row>
    <row r="104" spans="1:14" s="45" customFormat="1">
      <c r="A104" s="44"/>
      <c r="B104" s="206" t="str">
        <f>Text!A$74</f>
        <v>tracteur</v>
      </c>
      <c r="C104" s="169"/>
      <c r="D104" s="519"/>
      <c r="E104" s="369">
        <f>E105</f>
        <v>0</v>
      </c>
      <c r="F104" s="170" t="str">
        <f>IF(ISERROR(IF(D104=prop,VLOOKUP(K104,tracCou,5),IF(D104=loc,VLOOKUP(K104,tracCou,7),0))*IF(D105=entr,0,VLOOKUP(K105,FumLisCou,10,0))*E104),"",IF(D104=prop,VLOOKUP(K104,tracCou,5),IF(D104=loc,VLOOKUP(K104,tracCou,7),0))*IF(D105=entr,0,VLOOKUP(K105,FumLisCou,10,0))*E104)</f>
        <v/>
      </c>
      <c r="G104" s="526" t="str">
        <f>IF(ISERROR(IF(D104=prop,VLOOKUP(K104,tracCou,6),0)*IF(D105=entr,0,VLOOKUP(K105,FumLisCou,10,0))*E104),"",IF(D104=prop,VLOOKUP(K104,tracCou,6),0)*IF(D105=entr,0,VLOOKUP(K105,FumLisCou,10,0))*E104)</f>
        <v/>
      </c>
      <c r="H104" s="217"/>
      <c r="I104" s="345"/>
      <c r="J104" s="345"/>
      <c r="K104" s="140" t="str">
        <f>IF(ISERROR(INDEX(ntrac,MATCH('Maschinen-Machines'!C104,tract,0),1)),"",INDEX(ntrac,MATCH('Maschinen-Machines'!C104,tract,0),1))</f>
        <v/>
      </c>
      <c r="L104" s="147"/>
      <c r="M104" s="147"/>
      <c r="N104" s="147"/>
    </row>
    <row r="105" spans="1:14" s="45" customFormat="1">
      <c r="A105" s="44"/>
      <c r="B105" s="207" t="str">
        <f>Text!A$75</f>
        <v>machine</v>
      </c>
      <c r="C105" s="208"/>
      <c r="D105" s="520"/>
      <c r="E105" s="370"/>
      <c r="F105" s="158" t="str">
        <f>IF(ISERROR(IF(D105=prop,VLOOKUP(K105,FumLisCou,6,0),IF(D105=loc,VLOOKUP(K105,FumLisCou,7,0),IF(D105=entr,VLOOKUP(K105,FumLisCou,11,0),"")))*E105),"",IF(D105=prop,VLOOKUP(K105,FumLisCou,6,0),IF(D105=loc,VLOOKUP(K105,FumLisCou,7,0),IF(D105=entr,VLOOKUP(K105,FumLisCou,11,0),"")))*E105)</f>
        <v/>
      </c>
      <c r="G105" s="527" t="str">
        <f>IF(ISERROR(IF(D105=prop,VLOOKUP(K105,FumLisCou,8),"")*E105),"",IF(D105=prop,VLOOKUP(K105,FumLisCou,8),"")*E105)</f>
        <v/>
      </c>
      <c r="H105" s="218"/>
      <c r="I105" s="159" t="str">
        <f>IF(ISERROR(IF(OR(D105=prop,D105=loc),VLOOKUP(K105,FumLisCou,10),"")*E105),"",IF(OR(D105=prop,D105=loc),VLOOKUP(K105,FumLisCou,10),"")*E105)</f>
        <v/>
      </c>
      <c r="J105" s="531" t="str">
        <f>IF(ISERROR(IF(OR(D105=prop,D105=loc),VLOOKUP(K105,FumLisCou,9),"")*E105),"",IF(OR(D105=prop,D105=loc),VLOOKUP(K105,FumLisCou,9),"")*E105)</f>
        <v/>
      </c>
      <c r="K105" s="140" t="str">
        <f>IF(ISERROR(INDEX(nFumLis,MATCH(C105,FumLis,0),1)),"",INDEX(nFumLis,MATCH(C105,FumLis,0),1))</f>
        <v/>
      </c>
      <c r="L105" s="147"/>
      <c r="M105" s="147"/>
      <c r="N105" s="147"/>
    </row>
    <row r="106" spans="1:14" s="45" customFormat="1">
      <c r="A106" s="44"/>
      <c r="B106" s="206" t="str">
        <f>Text!A$74</f>
        <v>tracteur</v>
      </c>
      <c r="C106" s="169"/>
      <c r="D106" s="519"/>
      <c r="E106" s="369">
        <f>E107</f>
        <v>0</v>
      </c>
      <c r="F106" s="170" t="str">
        <f>IF(ISERROR(IF(D106=prop,VLOOKUP(K106,tracCou,5),IF(D106=loc,VLOOKUP(K106,tracCou,7),0))*IF(D107=entr,0,VLOOKUP(K107,FumLisCou,10,0))*E106),"",IF(D106=prop,VLOOKUP(K106,tracCou,5),IF(D106=loc,VLOOKUP(K106,tracCou,7),0))*IF(D107=entr,0,VLOOKUP(K107,FumLisCou,10,0))*E106)</f>
        <v/>
      </c>
      <c r="G106" s="526" t="str">
        <f>IF(ISERROR(IF(D106=prop,VLOOKUP(K106,tracCou,6),0)*IF(D107=entr,0,VLOOKUP(K107,FumLisCou,10,0))*E106),"",IF(D106=prop,VLOOKUP(K106,tracCou,6),0)*IF(D107=entr,0,VLOOKUP(K107,FumLisCou,10,0))*E106)</f>
        <v/>
      </c>
      <c r="H106" s="217"/>
      <c r="I106" s="345"/>
      <c r="J106" s="345"/>
      <c r="K106" s="140" t="str">
        <f>IF(ISERROR(INDEX(ntrac,MATCH('Maschinen-Machines'!C106,tract,0),1)),"",INDEX(ntrac,MATCH('Maschinen-Machines'!C106,tract,0),1))</f>
        <v/>
      </c>
      <c r="L106" s="147"/>
      <c r="M106" s="147"/>
      <c r="N106" s="147"/>
    </row>
    <row r="107" spans="1:14" s="45" customFormat="1" ht="13.8" thickBot="1">
      <c r="A107" s="44"/>
      <c r="B107" s="209" t="str">
        <f>Text!A$75</f>
        <v>machine</v>
      </c>
      <c r="C107" s="210"/>
      <c r="D107" s="525"/>
      <c r="E107" s="371"/>
      <c r="F107" s="158" t="str">
        <f>IF(ISERROR(IF(D107=prop,VLOOKUP(K107,FumLisCou,6,0),IF(D107=loc,VLOOKUP(K107,FumLisCou,7,0),IF(D107=entr,VLOOKUP(K107,FumLisCou,11,0),"")))*E107),"",IF(D107=prop,VLOOKUP(K107,FumLisCou,6,0),IF(D107=loc,VLOOKUP(K107,FumLisCou,7,0),IF(D107=entr,VLOOKUP(K107,FumLisCou,11,0),"")))*E107)</f>
        <v/>
      </c>
      <c r="G107" s="527" t="str">
        <f>IF(ISERROR(IF(D107=prop,VLOOKUP(K107,FumLisCou,8),"")*E107),"",IF(D107=prop,VLOOKUP(K107,FumLisCou,8),"")*E107)</f>
        <v/>
      </c>
      <c r="H107" s="218"/>
      <c r="I107" s="159" t="str">
        <f>IF(ISERROR(IF(OR(D107=prop,D107=loc),VLOOKUP(K107,FumLisCou,10),"")*E107),"",IF(OR(D107=prop,D107=loc),VLOOKUP(K107,FumLisCou,10),"")*E107)</f>
        <v/>
      </c>
      <c r="J107" s="531" t="str">
        <f>IF(ISERROR(IF(OR(D107=prop,D107=loc),VLOOKUP(K107,FumLisCou,9),"")*E107),"",IF(OR(D107=prop,D107=loc),VLOOKUP(K107,FumLisCou,9),"")*E107)</f>
        <v/>
      </c>
      <c r="K107" s="140" t="str">
        <f>IF(ISERROR(INDEX(nFumLis,MATCH(C107,FumLis,0),1)),"",INDEX(nFumLis,MATCH(C107,FumLis,0),1))</f>
        <v/>
      </c>
      <c r="L107" s="147"/>
      <c r="M107" s="147"/>
      <c r="N107" s="147"/>
    </row>
    <row r="108" spans="1:14">
      <c r="A108" s="160" t="str">
        <f>Text!A$98</f>
        <v>Total</v>
      </c>
      <c r="B108" s="163"/>
      <c r="C108" s="165"/>
      <c r="D108" s="166"/>
      <c r="E108" s="359">
        <v>1</v>
      </c>
      <c r="F108" s="164">
        <f>SUM(F100:F107)</f>
        <v>0</v>
      </c>
      <c r="G108" s="529">
        <f t="shared" ref="G108:J108" si="10">SUM(G100:G107)</f>
        <v>0</v>
      </c>
      <c r="H108" s="219"/>
      <c r="I108" s="164">
        <f t="shared" ref="I108" si="11">SUM(I100:I107)</f>
        <v>0</v>
      </c>
      <c r="J108" s="529">
        <f t="shared" si="10"/>
        <v>0</v>
      </c>
      <c r="K108" s="140"/>
      <c r="L108" s="140"/>
      <c r="M108" s="140"/>
      <c r="N108" s="140"/>
    </row>
    <row r="109" spans="1:14">
      <c r="A109" s="136" t="str">
        <f>Text!A$99</f>
        <v>dont propre</v>
      </c>
      <c r="B109" s="137"/>
      <c r="C109" s="137"/>
      <c r="D109" s="138" t="str">
        <f>prop</f>
        <v>P</v>
      </c>
      <c r="E109" s="360">
        <v>1</v>
      </c>
      <c r="F109" s="139">
        <f>SUMIF($D$100:$D$107,$D109,F$100:F$107)</f>
        <v>0</v>
      </c>
      <c r="G109" s="139">
        <f>SUMIF($D$100:$D$107,$D109,G$100:G$107)</f>
        <v>0</v>
      </c>
      <c r="H109" s="220"/>
      <c r="I109" s="135"/>
      <c r="J109" s="135"/>
      <c r="K109" s="140"/>
      <c r="L109" s="140"/>
      <c r="M109" s="140"/>
      <c r="N109" s="140"/>
    </row>
    <row r="110" spans="1:14">
      <c r="A110" s="136" t="str">
        <f>Text!A$100</f>
        <v>dont location</v>
      </c>
      <c r="B110" s="137"/>
      <c r="C110" s="137"/>
      <c r="D110" s="138" t="str">
        <f>loc</f>
        <v>L</v>
      </c>
      <c r="E110" s="360">
        <v>1</v>
      </c>
      <c r="F110" s="139">
        <f t="shared" ref="F110:G111" si="12">SUMIF($D$100:$D$107,$D110,F$100:F$107)</f>
        <v>0</v>
      </c>
      <c r="G110" s="139">
        <f t="shared" si="12"/>
        <v>0</v>
      </c>
      <c r="H110" s="220"/>
      <c r="I110" s="135"/>
      <c r="J110" s="135"/>
      <c r="K110" s="140"/>
      <c r="L110" s="140"/>
      <c r="M110" s="140"/>
      <c r="N110" s="140"/>
    </row>
    <row r="111" spans="1:14">
      <c r="A111" s="136" t="str">
        <f>Text!A$101</f>
        <v>dont entreprise</v>
      </c>
      <c r="B111" s="137"/>
      <c r="C111" s="137"/>
      <c r="D111" s="138" t="str">
        <f>entr</f>
        <v>E</v>
      </c>
      <c r="E111" s="360">
        <v>1</v>
      </c>
      <c r="F111" s="139">
        <f t="shared" si="12"/>
        <v>0</v>
      </c>
      <c r="G111" s="139">
        <f t="shared" si="12"/>
        <v>0</v>
      </c>
      <c r="H111" s="220"/>
      <c r="I111" s="135"/>
      <c r="J111" s="135"/>
      <c r="K111" s="140"/>
      <c r="L111" s="140"/>
      <c r="M111" s="140"/>
      <c r="N111" s="140"/>
    </row>
    <row r="112" spans="1:14" ht="13.8" thickBot="1">
      <c r="A112" s="140"/>
      <c r="B112" s="141"/>
      <c r="C112" s="142"/>
      <c r="D112" s="142"/>
      <c r="E112" s="143"/>
      <c r="F112" s="143"/>
      <c r="G112" s="143"/>
      <c r="H112" s="140"/>
      <c r="I112" s="140"/>
      <c r="J112" s="140"/>
      <c r="K112" s="140"/>
      <c r="L112" s="140"/>
      <c r="M112" s="140"/>
      <c r="N112" s="140"/>
    </row>
    <row r="113" spans="1:14" ht="13.8" thickTop="1">
      <c r="A113" s="364" t="str">
        <f>Text!A102</f>
        <v>TOTAL GENERAL</v>
      </c>
      <c r="B113" s="365"/>
      <c r="C113" s="366"/>
      <c r="D113" s="366"/>
      <c r="E113" s="367">
        <v>1</v>
      </c>
      <c r="F113" s="368">
        <f>F108+F78+F68+F47+F37+F27+F12</f>
        <v>0</v>
      </c>
      <c r="G113" s="368">
        <f t="shared" ref="G113:G116" si="13">G108+G78+G68+G47+G37+G27+G12</f>
        <v>0</v>
      </c>
      <c r="H113" s="368"/>
      <c r="I113" s="368">
        <f>SUM(I114:I116)</f>
        <v>0</v>
      </c>
      <c r="J113" s="368">
        <f>SUM(J114:J116)</f>
        <v>0</v>
      </c>
      <c r="K113" s="140"/>
      <c r="L113" s="140"/>
      <c r="M113" s="140"/>
      <c r="N113" s="140"/>
    </row>
    <row r="114" spans="1:14">
      <c r="A114" s="212" t="str">
        <f>Text!A$99</f>
        <v>dont propre</v>
      </c>
      <c r="B114" s="213"/>
      <c r="C114" s="213"/>
      <c r="D114" s="214" t="str">
        <f>prop</f>
        <v>P</v>
      </c>
      <c r="E114" s="363">
        <v>1</v>
      </c>
      <c r="F114" s="215">
        <f>F109+F79+F69+F48+F38+F28+F13</f>
        <v>0</v>
      </c>
      <c r="G114" s="215">
        <f t="shared" si="13"/>
        <v>0</v>
      </c>
      <c r="H114" s="216" t="str">
        <f>Text!A103</f>
        <v xml:space="preserve">   dont M &amp; T*</v>
      </c>
      <c r="I114" s="226"/>
      <c r="J114" s="226"/>
      <c r="K114" s="140"/>
      <c r="L114" s="140"/>
      <c r="M114" s="140"/>
      <c r="N114" s="140"/>
    </row>
    <row r="115" spans="1:14">
      <c r="A115" s="212" t="str">
        <f>Text!A$100</f>
        <v>dont location</v>
      </c>
      <c r="B115" s="213"/>
      <c r="C115" s="213"/>
      <c r="D115" s="214" t="str">
        <f>loc</f>
        <v>L</v>
      </c>
      <c r="E115" s="363">
        <v>1</v>
      </c>
      <c r="F115" s="215">
        <f>F110+F80+F70+F49+F39+F29+F14</f>
        <v>0</v>
      </c>
      <c r="G115" s="215">
        <f t="shared" si="13"/>
        <v>0</v>
      </c>
      <c r="H115" s="216" t="str">
        <f>Text!A104</f>
        <v xml:space="preserve">   dont mise en culture et soins</v>
      </c>
      <c r="I115" s="216">
        <f>I108+I78+I68+I47+I37+I27+I12-I116</f>
        <v>0</v>
      </c>
      <c r="J115" s="216">
        <f>J108+J78+J68+J47+J37+J27+J12+C85+C86+C87+C90+C91-J116</f>
        <v>0</v>
      </c>
      <c r="K115" s="140"/>
      <c r="L115" s="140"/>
      <c r="M115" s="140"/>
      <c r="N115" s="140"/>
    </row>
    <row r="116" spans="1:14">
      <c r="A116" s="212" t="str">
        <f>Text!A$101</f>
        <v>dont entreprise</v>
      </c>
      <c r="B116" s="213"/>
      <c r="C116" s="213"/>
      <c r="D116" s="214" t="str">
        <f>entr</f>
        <v>E</v>
      </c>
      <c r="E116" s="363">
        <v>1</v>
      </c>
      <c r="F116" s="215">
        <f>F111+F81+F71+F50+F40+F30+F15</f>
        <v>0</v>
      </c>
      <c r="G116" s="215">
        <f t="shared" si="13"/>
        <v>0</v>
      </c>
      <c r="H116" s="216" t="str">
        <f>Text!A105</f>
        <v xml:space="preserve">   dont récolte</v>
      </c>
      <c r="I116" s="216">
        <f>I78</f>
        <v>0</v>
      </c>
      <c r="J116" s="216">
        <f>J78</f>
        <v>0</v>
      </c>
      <c r="K116" s="140"/>
      <c r="L116" s="140"/>
      <c r="M116" s="140"/>
      <c r="N116" s="140"/>
    </row>
    <row r="117" spans="1:14">
      <c r="A117" s="140"/>
      <c r="B117" s="141"/>
      <c r="C117" s="142"/>
      <c r="D117" s="142"/>
      <c r="E117" s="143"/>
      <c r="F117" s="143"/>
      <c r="G117" s="140"/>
      <c r="H117" s="140"/>
      <c r="I117" s="140"/>
      <c r="J117" s="140"/>
      <c r="K117" s="140"/>
      <c r="L117" s="140"/>
      <c r="M117" s="140"/>
      <c r="N117" s="140"/>
    </row>
    <row r="118" spans="1:14"/>
  </sheetData>
  <dataValidations count="12">
    <dataValidation type="list" allowBlank="1" showInputMessage="1" showErrorMessage="1" sqref="C100 C104 C102 C106" xr:uid="{E2AEC04C-C03A-4424-8441-AAFCFEDB9347}">
      <formula1>tract</formula1>
    </dataValidation>
    <dataValidation type="list" allowBlank="1" showInputMessage="1" showErrorMessage="1" sqref="D18:D19 D21:D22 D43:D44 D53:D54 D100:D107 D56:D57 D59:D60 D62:D63 D24:D25 D6:D11 D74:D76 D33:D36" xr:uid="{CAEDD32F-D0A6-4EB1-B1C6-C5CCDCD00125}">
      <formula1>modeUse</formula1>
    </dataValidation>
    <dataValidation type="list" allowBlank="1" showInputMessage="1" sqref="C10 C18 C43 C59 C62 C75 C24 C53 C35 C21 C6 C8 C33 C56" xr:uid="{20DAA8C8-036C-47FD-8730-E9919E629E21}">
      <formula1>tract</formula1>
    </dataValidation>
    <dataValidation type="list" allowBlank="1" showInputMessage="1" showErrorMessage="1" sqref="C107 C103 C105" xr:uid="{E1D143EF-5AE5-4765-8558-E5F58F9A4F3B}">
      <formula1>FumLis</formula1>
    </dataValidation>
    <dataValidation type="list" allowBlank="1" showInputMessage="1" sqref="C60" xr:uid="{8FF5D0C6-8C3E-4856-AAD4-E89598492FBB}">
      <formula1>hers</formula1>
    </dataValidation>
    <dataValidation type="list" allowBlank="1" showInputMessage="1" sqref="C63" xr:uid="{A9088B63-E325-427E-B2D2-0CF21485A0A5}">
      <formula1>sarcl</formula1>
    </dataValidation>
    <dataValidation type="list" allowBlank="1" showInputMessage="1" sqref="C101" xr:uid="{4C448C5F-F6A7-46EF-BD4D-111710BF7174}">
      <formula1>FumLis</formula1>
    </dataValidation>
    <dataValidation type="list" allowBlank="1" showInputMessage="1" sqref="C7 C9 C11" xr:uid="{4B003D9D-7DAC-43F4-8A07-FEE71AD575F5}">
      <formula1>travsol</formula1>
    </dataValidation>
    <dataValidation type="list" allowBlank="1" showInputMessage="1" sqref="C19 C22 C25" xr:uid="{94834DE5-4FA6-496B-81E6-6EE834EF6524}">
      <formula1>litsem</formula1>
    </dataValidation>
    <dataValidation type="list" allowBlank="1" showInputMessage="1" sqref="C34 C36" xr:uid="{D24F3BD4-56AE-4F62-A9D0-C987CC13B33E}">
      <formula1>Semis</formula1>
    </dataValidation>
    <dataValidation type="list" allowBlank="1" showInputMessage="1" sqref="C54" xr:uid="{00E51BD9-3C95-4CC8-8CEC-66B411756EC2}">
      <formula1>Engrais</formula1>
    </dataValidation>
    <dataValidation type="list" allowBlank="1" showInputMessage="1" sqref="C57" xr:uid="{46620AC3-A6BE-43EA-989F-35FA49C42BAA}">
      <formula1>pulv</formula1>
    </dataValidation>
  </dataValidations>
  <printOptions gridLines="1"/>
  <pageMargins left="1.1811023622047245" right="0.78740157480314965" top="1.5748031496062993" bottom="0.78740157480314965" header="0.51181102362204722" footer="0.51181102362204722"/>
  <pageSetup paperSize="9" scale="43" orientation="landscape" r:id="rId1"/>
  <headerFooter alignWithMargins="0">
    <oddHeader>&amp;L&amp;G</oddHeader>
    <oddFooter>&amp;L&amp;8&amp;D / &amp;F /&amp;R&amp;8&amp;P/&amp;N</oddFooter>
  </headerFooter>
  <rowBreaks count="1" manualBreakCount="1">
    <brk id="51" max="9" man="1"/>
  </rowBreaks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A50AC20-5149-4B5F-8EBB-45AF5C2B8C96}">
            <xm:f>MATCH($C101,'Maschinenliste-Liste Machines'!$B$49:$B$62)&lt;8</xm:f>
            <x14:dxf>
              <numFmt numFmtId="174" formatCode="#\ ##0\ &quot;t&quot;"/>
            </x14:dxf>
          </x14:cfRule>
          <xm:sqref>E100 E102 E104 E106</xm:sqref>
        </x14:conditionalFormatting>
        <x14:conditionalFormatting xmlns:xm="http://schemas.microsoft.com/office/excel/2006/main">
          <x14:cfRule type="expression" priority="2" id="{682CFACD-DC3C-44EB-A6DB-9D97CB24046E}">
            <xm:f>MATCH($C101,'Maschinenliste-Liste Machines'!$B$49:$B$62)&lt;8</xm:f>
            <x14:dxf>
              <numFmt numFmtId="174" formatCode="#\ ##0\ &quot;t&quot;"/>
            </x14:dxf>
          </x14:cfRule>
          <xm:sqref>E101 E103 E105 E107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0E6B8E5-6F9F-4418-BA4A-E41CC12F9BD8}">
          <x14:formula1>
            <xm:f>'Maschinenliste-Liste Machines'!$B$70:$B$71</xm:f>
          </x14:formula1>
          <xm:sqref>C74</xm:sqref>
        </x14:dataValidation>
        <x14:dataValidation type="list" allowBlank="1" showInputMessage="1" showErrorMessage="1" xr:uid="{5C2190BE-5AE9-473A-85BD-98B0289FCF12}">
          <x14:formula1>
            <xm:f>'Maschinenliste-Liste Machines'!$B$69</xm:f>
          </x14:formula1>
          <xm:sqref>C76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D361A-3595-4647-B62D-559D20DF341D}">
  <sheetPr codeName="Tabelle1">
    <tabColor theme="5" tint="-0.499984740745262"/>
  </sheetPr>
  <dimension ref="A1:WWI110"/>
  <sheetViews>
    <sheetView showZeros="0" zoomScale="104" zoomScaleNormal="104" zoomScaleSheetLayoutView="100" workbookViewId="0">
      <pane ySplit="5" topLeftCell="A65" activePane="bottomLeft" state="frozen"/>
      <selection activeCell="K34" sqref="K34"/>
      <selection pane="bottomLeft" activeCell="K34" sqref="K34"/>
    </sheetView>
  </sheetViews>
  <sheetFormatPr baseColWidth="10" defaultColWidth="0" defaultRowHeight="11.4" zeroHeight="1"/>
  <cols>
    <col min="1" max="1" width="5.77734375" style="427" customWidth="1"/>
    <col min="2" max="2" width="42.77734375" style="440" customWidth="1"/>
    <col min="3" max="4" width="2.77734375" style="427" customWidth="1"/>
    <col min="5" max="8" width="6.5546875" style="427" customWidth="1"/>
    <col min="9" max="10" width="6.77734375" style="427" customWidth="1"/>
    <col min="11" max="11" width="6.21875" style="477" customWidth="1"/>
    <col min="12" max="12" width="5.44140625" style="478" customWidth="1"/>
    <col min="13" max="13" width="3.44140625" style="478" customWidth="1"/>
    <col min="14" max="14" width="3.21875" style="478" bestFit="1" customWidth="1"/>
    <col min="15" max="15" width="3.77734375" style="427" hidden="1" customWidth="1"/>
    <col min="16" max="16" width="8.77734375" style="427" customWidth="1"/>
    <col min="17" max="17" width="31.77734375" style="440" hidden="1"/>
    <col min="18" max="18" width="23.44140625" style="440" hidden="1"/>
    <col min="19" max="19" width="8.44140625" style="440" hidden="1"/>
    <col min="20" max="20" width="11" style="440" hidden="1"/>
    <col min="21" max="22" width="31.77734375" style="440" hidden="1"/>
    <col min="23" max="23" width="46.44140625" style="440" hidden="1"/>
    <col min="24" max="25" width="8.77734375" style="440" hidden="1"/>
    <col min="26" max="26" width="15.77734375" style="440" hidden="1"/>
    <col min="27" max="27" width="17.44140625" style="440" hidden="1"/>
    <col min="28" max="255" width="8.77734375" style="440" hidden="1"/>
    <col min="256" max="256" width="5" style="440" hidden="1"/>
    <col min="257" max="257" width="35.77734375" style="440" hidden="1"/>
    <col min="258" max="258" width="2.77734375" style="440" hidden="1"/>
    <col min="259" max="259" width="34.77734375" style="440" hidden="1"/>
    <col min="260" max="261" width="2.77734375" style="440" hidden="1"/>
    <col min="262" max="264" width="6.5546875" style="440" hidden="1"/>
    <col min="265" max="266" width="6.77734375" style="440" hidden="1"/>
    <col min="267" max="267" width="6.21875" style="440" hidden="1"/>
    <col min="268" max="268" width="5.44140625" style="440" hidden="1"/>
    <col min="269" max="269" width="3.44140625" style="440" hidden="1"/>
    <col min="270" max="270" width="3.21875" style="440" hidden="1"/>
    <col min="271" max="271" width="3.77734375" style="440" hidden="1"/>
    <col min="272" max="272" width="8.77734375" style="440" hidden="1"/>
    <col min="273" max="273" width="31.77734375" style="440" hidden="1"/>
    <col min="274" max="274" width="23.44140625" style="440" hidden="1"/>
    <col min="275" max="275" width="8.44140625" style="440" hidden="1"/>
    <col min="276" max="276" width="11" style="440" hidden="1"/>
    <col min="277" max="278" width="31.77734375" style="440" hidden="1"/>
    <col min="279" max="279" width="46.44140625" style="440" hidden="1"/>
    <col min="280" max="281" width="8.77734375" style="440" hidden="1"/>
    <col min="282" max="282" width="15.77734375" style="440" hidden="1"/>
    <col min="283" max="283" width="17.44140625" style="440" hidden="1"/>
    <col min="284" max="511" width="8.77734375" style="440" hidden="1"/>
    <col min="512" max="512" width="5" style="440" hidden="1"/>
    <col min="513" max="513" width="35.77734375" style="440" hidden="1"/>
    <col min="514" max="514" width="2.77734375" style="440" hidden="1"/>
    <col min="515" max="515" width="34.77734375" style="440" hidden="1"/>
    <col min="516" max="517" width="2.77734375" style="440" hidden="1"/>
    <col min="518" max="520" width="6.5546875" style="440" hidden="1"/>
    <col min="521" max="522" width="6.77734375" style="440" hidden="1"/>
    <col min="523" max="523" width="6.21875" style="440" hidden="1"/>
    <col min="524" max="524" width="5.44140625" style="440" hidden="1"/>
    <col min="525" max="525" width="3.44140625" style="440" hidden="1"/>
    <col min="526" max="526" width="3.21875" style="440" hidden="1"/>
    <col min="527" max="527" width="3.77734375" style="440" hidden="1"/>
    <col min="528" max="528" width="8.77734375" style="440" hidden="1"/>
    <col min="529" max="529" width="31.77734375" style="440" hidden="1"/>
    <col min="530" max="530" width="23.44140625" style="440" hidden="1"/>
    <col min="531" max="531" width="8.44140625" style="440" hidden="1"/>
    <col min="532" max="532" width="11" style="440" hidden="1"/>
    <col min="533" max="534" width="31.77734375" style="440" hidden="1"/>
    <col min="535" max="535" width="46.44140625" style="440" hidden="1"/>
    <col min="536" max="537" width="8.77734375" style="440" hidden="1"/>
    <col min="538" max="538" width="15.77734375" style="440" hidden="1"/>
    <col min="539" max="539" width="17.44140625" style="440" hidden="1"/>
    <col min="540" max="767" width="8.77734375" style="440" hidden="1"/>
    <col min="768" max="768" width="5" style="440" hidden="1"/>
    <col min="769" max="769" width="35.77734375" style="440" hidden="1"/>
    <col min="770" max="770" width="2.77734375" style="440" hidden="1"/>
    <col min="771" max="771" width="34.77734375" style="440" hidden="1"/>
    <col min="772" max="773" width="2.77734375" style="440" hidden="1"/>
    <col min="774" max="776" width="6.5546875" style="440" hidden="1"/>
    <col min="777" max="778" width="6.77734375" style="440" hidden="1"/>
    <col min="779" max="779" width="6.21875" style="440" hidden="1"/>
    <col min="780" max="780" width="5.44140625" style="440" hidden="1"/>
    <col min="781" max="781" width="3.44140625" style="440" hidden="1"/>
    <col min="782" max="782" width="3.21875" style="440" hidden="1"/>
    <col min="783" max="783" width="3.77734375" style="440" hidden="1"/>
    <col min="784" max="784" width="8.77734375" style="440" hidden="1"/>
    <col min="785" max="785" width="31.77734375" style="440" hidden="1"/>
    <col min="786" max="786" width="23.44140625" style="440" hidden="1"/>
    <col min="787" max="787" width="8.44140625" style="440" hidden="1"/>
    <col min="788" max="788" width="11" style="440" hidden="1"/>
    <col min="789" max="790" width="31.77734375" style="440" hidden="1"/>
    <col min="791" max="791" width="46.44140625" style="440" hidden="1"/>
    <col min="792" max="793" width="8.77734375" style="440" hidden="1"/>
    <col min="794" max="794" width="15.77734375" style="440" hidden="1"/>
    <col min="795" max="795" width="17.44140625" style="440" hidden="1"/>
    <col min="796" max="1023" width="8.77734375" style="440" hidden="1"/>
    <col min="1024" max="1024" width="5" style="440" hidden="1"/>
    <col min="1025" max="1025" width="35.77734375" style="440" hidden="1"/>
    <col min="1026" max="1026" width="2.77734375" style="440" hidden="1"/>
    <col min="1027" max="1027" width="34.77734375" style="440" hidden="1"/>
    <col min="1028" max="1029" width="2.77734375" style="440" hidden="1"/>
    <col min="1030" max="1032" width="6.5546875" style="440" hidden="1"/>
    <col min="1033" max="1034" width="6.77734375" style="440" hidden="1"/>
    <col min="1035" max="1035" width="6.21875" style="440" hidden="1"/>
    <col min="1036" max="1036" width="5.44140625" style="440" hidden="1"/>
    <col min="1037" max="1037" width="3.44140625" style="440" hidden="1"/>
    <col min="1038" max="1038" width="3.21875" style="440" hidden="1"/>
    <col min="1039" max="1039" width="3.77734375" style="440" hidden="1"/>
    <col min="1040" max="1040" width="8.77734375" style="440" hidden="1"/>
    <col min="1041" max="1041" width="31.77734375" style="440" hidden="1"/>
    <col min="1042" max="1042" width="23.44140625" style="440" hidden="1"/>
    <col min="1043" max="1043" width="8.44140625" style="440" hidden="1"/>
    <col min="1044" max="1044" width="11" style="440" hidden="1"/>
    <col min="1045" max="1046" width="31.77734375" style="440" hidden="1"/>
    <col min="1047" max="1047" width="46.44140625" style="440" hidden="1"/>
    <col min="1048" max="1049" width="8.77734375" style="440" hidden="1"/>
    <col min="1050" max="1050" width="15.77734375" style="440" hidden="1"/>
    <col min="1051" max="1051" width="17.44140625" style="440" hidden="1"/>
    <col min="1052" max="1279" width="8.77734375" style="440" hidden="1"/>
    <col min="1280" max="1280" width="5" style="440" hidden="1"/>
    <col min="1281" max="1281" width="35.77734375" style="440" hidden="1"/>
    <col min="1282" max="1282" width="2.77734375" style="440" hidden="1"/>
    <col min="1283" max="1283" width="34.77734375" style="440" hidden="1"/>
    <col min="1284" max="1285" width="2.77734375" style="440" hidden="1"/>
    <col min="1286" max="1288" width="6.5546875" style="440" hidden="1"/>
    <col min="1289" max="1290" width="6.77734375" style="440" hidden="1"/>
    <col min="1291" max="1291" width="6.21875" style="440" hidden="1"/>
    <col min="1292" max="1292" width="5.44140625" style="440" hidden="1"/>
    <col min="1293" max="1293" width="3.44140625" style="440" hidden="1"/>
    <col min="1294" max="1294" width="3.21875" style="440" hidden="1"/>
    <col min="1295" max="1295" width="3.77734375" style="440" hidden="1"/>
    <col min="1296" max="1296" width="8.77734375" style="440" hidden="1"/>
    <col min="1297" max="1297" width="31.77734375" style="440" hidden="1"/>
    <col min="1298" max="1298" width="23.44140625" style="440" hidden="1"/>
    <col min="1299" max="1299" width="8.44140625" style="440" hidden="1"/>
    <col min="1300" max="1300" width="11" style="440" hidden="1"/>
    <col min="1301" max="1302" width="31.77734375" style="440" hidden="1"/>
    <col min="1303" max="1303" width="46.44140625" style="440" hidden="1"/>
    <col min="1304" max="1305" width="8.77734375" style="440" hidden="1"/>
    <col min="1306" max="1306" width="15.77734375" style="440" hidden="1"/>
    <col min="1307" max="1307" width="17.44140625" style="440" hidden="1"/>
    <col min="1308" max="1535" width="8.77734375" style="440" hidden="1"/>
    <col min="1536" max="1536" width="5" style="440" hidden="1"/>
    <col min="1537" max="1537" width="35.77734375" style="440" hidden="1"/>
    <col min="1538" max="1538" width="2.77734375" style="440" hidden="1"/>
    <col min="1539" max="1539" width="34.77734375" style="440" hidden="1"/>
    <col min="1540" max="1541" width="2.77734375" style="440" hidden="1"/>
    <col min="1542" max="1544" width="6.5546875" style="440" hidden="1"/>
    <col min="1545" max="1546" width="6.77734375" style="440" hidden="1"/>
    <col min="1547" max="1547" width="6.21875" style="440" hidden="1"/>
    <col min="1548" max="1548" width="5.44140625" style="440" hidden="1"/>
    <col min="1549" max="1549" width="3.44140625" style="440" hidden="1"/>
    <col min="1550" max="1550" width="3.21875" style="440" hidden="1"/>
    <col min="1551" max="1551" width="3.77734375" style="440" hidden="1"/>
    <col min="1552" max="1552" width="8.77734375" style="440" hidden="1"/>
    <col min="1553" max="1553" width="31.77734375" style="440" hidden="1"/>
    <col min="1554" max="1554" width="23.44140625" style="440" hidden="1"/>
    <col min="1555" max="1555" width="8.44140625" style="440" hidden="1"/>
    <col min="1556" max="1556" width="11" style="440" hidden="1"/>
    <col min="1557" max="1558" width="31.77734375" style="440" hidden="1"/>
    <col min="1559" max="1559" width="46.44140625" style="440" hidden="1"/>
    <col min="1560" max="1561" width="8.77734375" style="440" hidden="1"/>
    <col min="1562" max="1562" width="15.77734375" style="440" hidden="1"/>
    <col min="1563" max="1563" width="17.44140625" style="440" hidden="1"/>
    <col min="1564" max="1791" width="8.77734375" style="440" hidden="1"/>
    <col min="1792" max="1792" width="5" style="440" hidden="1"/>
    <col min="1793" max="1793" width="35.77734375" style="440" hidden="1"/>
    <col min="1794" max="1794" width="2.77734375" style="440" hidden="1"/>
    <col min="1795" max="1795" width="34.77734375" style="440" hidden="1"/>
    <col min="1796" max="1797" width="2.77734375" style="440" hidden="1"/>
    <col min="1798" max="1800" width="6.5546875" style="440" hidden="1"/>
    <col min="1801" max="1802" width="6.77734375" style="440" hidden="1"/>
    <col min="1803" max="1803" width="6.21875" style="440" hidden="1"/>
    <col min="1804" max="1804" width="5.44140625" style="440" hidden="1"/>
    <col min="1805" max="1805" width="3.44140625" style="440" hidden="1"/>
    <col min="1806" max="1806" width="3.21875" style="440" hidden="1"/>
    <col min="1807" max="1807" width="3.77734375" style="440" hidden="1"/>
    <col min="1808" max="1808" width="8.77734375" style="440" hidden="1"/>
    <col min="1809" max="1809" width="31.77734375" style="440" hidden="1"/>
    <col min="1810" max="1810" width="23.44140625" style="440" hidden="1"/>
    <col min="1811" max="1811" width="8.44140625" style="440" hidden="1"/>
    <col min="1812" max="1812" width="11" style="440" hidden="1"/>
    <col min="1813" max="1814" width="31.77734375" style="440" hidden="1"/>
    <col min="1815" max="1815" width="46.44140625" style="440" hidden="1"/>
    <col min="1816" max="1817" width="8.77734375" style="440" hidden="1"/>
    <col min="1818" max="1818" width="15.77734375" style="440" hidden="1"/>
    <col min="1819" max="1819" width="17.44140625" style="440" hidden="1"/>
    <col min="1820" max="2047" width="8.77734375" style="440" hidden="1"/>
    <col min="2048" max="2048" width="5" style="440" hidden="1"/>
    <col min="2049" max="2049" width="35.77734375" style="440" hidden="1"/>
    <col min="2050" max="2050" width="2.77734375" style="440" hidden="1"/>
    <col min="2051" max="2051" width="34.77734375" style="440" hidden="1"/>
    <col min="2052" max="2053" width="2.77734375" style="440" hidden="1"/>
    <col min="2054" max="2056" width="6.5546875" style="440" hidden="1"/>
    <col min="2057" max="2058" width="6.77734375" style="440" hidden="1"/>
    <col min="2059" max="2059" width="6.21875" style="440" hidden="1"/>
    <col min="2060" max="2060" width="5.44140625" style="440" hidden="1"/>
    <col min="2061" max="2061" width="3.44140625" style="440" hidden="1"/>
    <col min="2062" max="2062" width="3.21875" style="440" hidden="1"/>
    <col min="2063" max="2063" width="3.77734375" style="440" hidden="1"/>
    <col min="2064" max="2064" width="8.77734375" style="440" hidden="1"/>
    <col min="2065" max="2065" width="31.77734375" style="440" hidden="1"/>
    <col min="2066" max="2066" width="23.44140625" style="440" hidden="1"/>
    <col min="2067" max="2067" width="8.44140625" style="440" hidden="1"/>
    <col min="2068" max="2068" width="11" style="440" hidden="1"/>
    <col min="2069" max="2070" width="31.77734375" style="440" hidden="1"/>
    <col min="2071" max="2071" width="46.44140625" style="440" hidden="1"/>
    <col min="2072" max="2073" width="8.77734375" style="440" hidden="1"/>
    <col min="2074" max="2074" width="15.77734375" style="440" hidden="1"/>
    <col min="2075" max="2075" width="17.44140625" style="440" hidden="1"/>
    <col min="2076" max="2303" width="8.77734375" style="440" hidden="1"/>
    <col min="2304" max="2304" width="5" style="440" hidden="1"/>
    <col min="2305" max="2305" width="35.77734375" style="440" hidden="1"/>
    <col min="2306" max="2306" width="2.77734375" style="440" hidden="1"/>
    <col min="2307" max="2307" width="34.77734375" style="440" hidden="1"/>
    <col min="2308" max="2309" width="2.77734375" style="440" hidden="1"/>
    <col min="2310" max="2312" width="6.5546875" style="440" hidden="1"/>
    <col min="2313" max="2314" width="6.77734375" style="440" hidden="1"/>
    <col min="2315" max="2315" width="6.21875" style="440" hidden="1"/>
    <col min="2316" max="2316" width="5.44140625" style="440" hidden="1"/>
    <col min="2317" max="2317" width="3.44140625" style="440" hidden="1"/>
    <col min="2318" max="2318" width="3.21875" style="440" hidden="1"/>
    <col min="2319" max="2319" width="3.77734375" style="440" hidden="1"/>
    <col min="2320" max="2320" width="8.77734375" style="440" hidden="1"/>
    <col min="2321" max="2321" width="31.77734375" style="440" hidden="1"/>
    <col min="2322" max="2322" width="23.44140625" style="440" hidden="1"/>
    <col min="2323" max="2323" width="8.44140625" style="440" hidden="1"/>
    <col min="2324" max="2324" width="11" style="440" hidden="1"/>
    <col min="2325" max="2326" width="31.77734375" style="440" hidden="1"/>
    <col min="2327" max="2327" width="46.44140625" style="440" hidden="1"/>
    <col min="2328" max="2329" width="8.77734375" style="440" hidden="1"/>
    <col min="2330" max="2330" width="15.77734375" style="440" hidden="1"/>
    <col min="2331" max="2331" width="17.44140625" style="440" hidden="1"/>
    <col min="2332" max="2559" width="8.77734375" style="440" hidden="1"/>
    <col min="2560" max="2560" width="5" style="440" hidden="1"/>
    <col min="2561" max="2561" width="35.77734375" style="440" hidden="1"/>
    <col min="2562" max="2562" width="2.77734375" style="440" hidden="1"/>
    <col min="2563" max="2563" width="34.77734375" style="440" hidden="1"/>
    <col min="2564" max="2565" width="2.77734375" style="440" hidden="1"/>
    <col min="2566" max="2568" width="6.5546875" style="440" hidden="1"/>
    <col min="2569" max="2570" width="6.77734375" style="440" hidden="1"/>
    <col min="2571" max="2571" width="6.21875" style="440" hidden="1"/>
    <col min="2572" max="2572" width="5.44140625" style="440" hidden="1"/>
    <col min="2573" max="2573" width="3.44140625" style="440" hidden="1"/>
    <col min="2574" max="2574" width="3.21875" style="440" hidden="1"/>
    <col min="2575" max="2575" width="3.77734375" style="440" hidden="1"/>
    <col min="2576" max="2576" width="8.77734375" style="440" hidden="1"/>
    <col min="2577" max="2577" width="31.77734375" style="440" hidden="1"/>
    <col min="2578" max="2578" width="23.44140625" style="440" hidden="1"/>
    <col min="2579" max="2579" width="8.44140625" style="440" hidden="1"/>
    <col min="2580" max="2580" width="11" style="440" hidden="1"/>
    <col min="2581" max="2582" width="31.77734375" style="440" hidden="1"/>
    <col min="2583" max="2583" width="46.44140625" style="440" hidden="1"/>
    <col min="2584" max="2585" width="8.77734375" style="440" hidden="1"/>
    <col min="2586" max="2586" width="15.77734375" style="440" hidden="1"/>
    <col min="2587" max="2587" width="17.44140625" style="440" hidden="1"/>
    <col min="2588" max="2815" width="8.77734375" style="440" hidden="1"/>
    <col min="2816" max="2816" width="5" style="440" hidden="1"/>
    <col min="2817" max="2817" width="35.77734375" style="440" hidden="1"/>
    <col min="2818" max="2818" width="2.77734375" style="440" hidden="1"/>
    <col min="2819" max="2819" width="34.77734375" style="440" hidden="1"/>
    <col min="2820" max="2821" width="2.77734375" style="440" hidden="1"/>
    <col min="2822" max="2824" width="6.5546875" style="440" hidden="1"/>
    <col min="2825" max="2826" width="6.77734375" style="440" hidden="1"/>
    <col min="2827" max="2827" width="6.21875" style="440" hidden="1"/>
    <col min="2828" max="2828" width="5.44140625" style="440" hidden="1"/>
    <col min="2829" max="2829" width="3.44140625" style="440" hidden="1"/>
    <col min="2830" max="2830" width="3.21875" style="440" hidden="1"/>
    <col min="2831" max="2831" width="3.77734375" style="440" hidden="1"/>
    <col min="2832" max="2832" width="8.77734375" style="440" hidden="1"/>
    <col min="2833" max="2833" width="31.77734375" style="440" hidden="1"/>
    <col min="2834" max="2834" width="23.44140625" style="440" hidden="1"/>
    <col min="2835" max="2835" width="8.44140625" style="440" hidden="1"/>
    <col min="2836" max="2836" width="11" style="440" hidden="1"/>
    <col min="2837" max="2838" width="31.77734375" style="440" hidden="1"/>
    <col min="2839" max="2839" width="46.44140625" style="440" hidden="1"/>
    <col min="2840" max="2841" width="8.77734375" style="440" hidden="1"/>
    <col min="2842" max="2842" width="15.77734375" style="440" hidden="1"/>
    <col min="2843" max="2843" width="17.44140625" style="440" hidden="1"/>
    <col min="2844" max="3071" width="8.77734375" style="440" hidden="1"/>
    <col min="3072" max="3072" width="5" style="440" hidden="1"/>
    <col min="3073" max="3073" width="35.77734375" style="440" hidden="1"/>
    <col min="3074" max="3074" width="2.77734375" style="440" hidden="1"/>
    <col min="3075" max="3075" width="34.77734375" style="440" hidden="1"/>
    <col min="3076" max="3077" width="2.77734375" style="440" hidden="1"/>
    <col min="3078" max="3080" width="6.5546875" style="440" hidden="1"/>
    <col min="3081" max="3082" width="6.77734375" style="440" hidden="1"/>
    <col min="3083" max="3083" width="6.21875" style="440" hidden="1"/>
    <col min="3084" max="3084" width="5.44140625" style="440" hidden="1"/>
    <col min="3085" max="3085" width="3.44140625" style="440" hidden="1"/>
    <col min="3086" max="3086" width="3.21875" style="440" hidden="1"/>
    <col min="3087" max="3087" width="3.77734375" style="440" hidden="1"/>
    <col min="3088" max="3088" width="8.77734375" style="440" hidden="1"/>
    <col min="3089" max="3089" width="31.77734375" style="440" hidden="1"/>
    <col min="3090" max="3090" width="23.44140625" style="440" hidden="1"/>
    <col min="3091" max="3091" width="8.44140625" style="440" hidden="1"/>
    <col min="3092" max="3092" width="11" style="440" hidden="1"/>
    <col min="3093" max="3094" width="31.77734375" style="440" hidden="1"/>
    <col min="3095" max="3095" width="46.44140625" style="440" hidden="1"/>
    <col min="3096" max="3097" width="8.77734375" style="440" hidden="1"/>
    <col min="3098" max="3098" width="15.77734375" style="440" hidden="1"/>
    <col min="3099" max="3099" width="17.44140625" style="440" hidden="1"/>
    <col min="3100" max="3327" width="8.77734375" style="440" hidden="1"/>
    <col min="3328" max="3328" width="5" style="440" hidden="1"/>
    <col min="3329" max="3329" width="35.77734375" style="440" hidden="1"/>
    <col min="3330" max="3330" width="2.77734375" style="440" hidden="1"/>
    <col min="3331" max="3331" width="34.77734375" style="440" hidden="1"/>
    <col min="3332" max="3333" width="2.77734375" style="440" hidden="1"/>
    <col min="3334" max="3336" width="6.5546875" style="440" hidden="1"/>
    <col min="3337" max="3338" width="6.77734375" style="440" hidden="1"/>
    <col min="3339" max="3339" width="6.21875" style="440" hidden="1"/>
    <col min="3340" max="3340" width="5.44140625" style="440" hidden="1"/>
    <col min="3341" max="3341" width="3.44140625" style="440" hidden="1"/>
    <col min="3342" max="3342" width="3.21875" style="440" hidden="1"/>
    <col min="3343" max="3343" width="3.77734375" style="440" hidden="1"/>
    <col min="3344" max="3344" width="8.77734375" style="440" hidden="1"/>
    <col min="3345" max="3345" width="31.77734375" style="440" hidden="1"/>
    <col min="3346" max="3346" width="23.44140625" style="440" hidden="1"/>
    <col min="3347" max="3347" width="8.44140625" style="440" hidden="1"/>
    <col min="3348" max="3348" width="11" style="440" hidden="1"/>
    <col min="3349" max="3350" width="31.77734375" style="440" hidden="1"/>
    <col min="3351" max="3351" width="46.44140625" style="440" hidden="1"/>
    <col min="3352" max="3353" width="8.77734375" style="440" hidden="1"/>
    <col min="3354" max="3354" width="15.77734375" style="440" hidden="1"/>
    <col min="3355" max="3355" width="17.44140625" style="440" hidden="1"/>
    <col min="3356" max="3583" width="8.77734375" style="440" hidden="1"/>
    <col min="3584" max="3584" width="5" style="440" hidden="1"/>
    <col min="3585" max="3585" width="35.77734375" style="440" hidden="1"/>
    <col min="3586" max="3586" width="2.77734375" style="440" hidden="1"/>
    <col min="3587" max="3587" width="34.77734375" style="440" hidden="1"/>
    <col min="3588" max="3589" width="2.77734375" style="440" hidden="1"/>
    <col min="3590" max="3592" width="6.5546875" style="440" hidden="1"/>
    <col min="3593" max="3594" width="6.77734375" style="440" hidden="1"/>
    <col min="3595" max="3595" width="6.21875" style="440" hidden="1"/>
    <col min="3596" max="3596" width="5.44140625" style="440" hidden="1"/>
    <col min="3597" max="3597" width="3.44140625" style="440" hidden="1"/>
    <col min="3598" max="3598" width="3.21875" style="440" hidden="1"/>
    <col min="3599" max="3599" width="3.77734375" style="440" hidden="1"/>
    <col min="3600" max="3600" width="8.77734375" style="440" hidden="1"/>
    <col min="3601" max="3601" width="31.77734375" style="440" hidden="1"/>
    <col min="3602" max="3602" width="23.44140625" style="440" hidden="1"/>
    <col min="3603" max="3603" width="8.44140625" style="440" hidden="1"/>
    <col min="3604" max="3604" width="11" style="440" hidden="1"/>
    <col min="3605" max="3606" width="31.77734375" style="440" hidden="1"/>
    <col min="3607" max="3607" width="46.44140625" style="440" hidden="1"/>
    <col min="3608" max="3609" width="8.77734375" style="440" hidden="1"/>
    <col min="3610" max="3610" width="15.77734375" style="440" hidden="1"/>
    <col min="3611" max="3611" width="17.44140625" style="440" hidden="1"/>
    <col min="3612" max="3839" width="8.77734375" style="440" hidden="1"/>
    <col min="3840" max="3840" width="5" style="440" hidden="1"/>
    <col min="3841" max="3841" width="35.77734375" style="440" hidden="1"/>
    <col min="3842" max="3842" width="2.77734375" style="440" hidden="1"/>
    <col min="3843" max="3843" width="34.77734375" style="440" hidden="1"/>
    <col min="3844" max="3845" width="2.77734375" style="440" hidden="1"/>
    <col min="3846" max="3848" width="6.5546875" style="440" hidden="1"/>
    <col min="3849" max="3850" width="6.77734375" style="440" hidden="1"/>
    <col min="3851" max="3851" width="6.21875" style="440" hidden="1"/>
    <col min="3852" max="3852" width="5.44140625" style="440" hidden="1"/>
    <col min="3853" max="3853" width="3.44140625" style="440" hidden="1"/>
    <col min="3854" max="3854" width="3.21875" style="440" hidden="1"/>
    <col min="3855" max="3855" width="3.77734375" style="440" hidden="1"/>
    <col min="3856" max="3856" width="8.77734375" style="440" hidden="1"/>
    <col min="3857" max="3857" width="31.77734375" style="440" hidden="1"/>
    <col min="3858" max="3858" width="23.44140625" style="440" hidden="1"/>
    <col min="3859" max="3859" width="8.44140625" style="440" hidden="1"/>
    <col min="3860" max="3860" width="11" style="440" hidden="1"/>
    <col min="3861" max="3862" width="31.77734375" style="440" hidden="1"/>
    <col min="3863" max="3863" width="46.44140625" style="440" hidden="1"/>
    <col min="3864" max="3865" width="8.77734375" style="440" hidden="1"/>
    <col min="3866" max="3866" width="15.77734375" style="440" hidden="1"/>
    <col min="3867" max="3867" width="17.44140625" style="440" hidden="1"/>
    <col min="3868" max="4095" width="8.77734375" style="440" hidden="1"/>
    <col min="4096" max="4096" width="5" style="440" hidden="1"/>
    <col min="4097" max="4097" width="35.77734375" style="440" hidden="1"/>
    <col min="4098" max="4098" width="2.77734375" style="440" hidden="1"/>
    <col min="4099" max="4099" width="34.77734375" style="440" hidden="1"/>
    <col min="4100" max="4101" width="2.77734375" style="440" hidden="1"/>
    <col min="4102" max="4104" width="6.5546875" style="440" hidden="1"/>
    <col min="4105" max="4106" width="6.77734375" style="440" hidden="1"/>
    <col min="4107" max="4107" width="6.21875" style="440" hidden="1"/>
    <col min="4108" max="4108" width="5.44140625" style="440" hidden="1"/>
    <col min="4109" max="4109" width="3.44140625" style="440" hidden="1"/>
    <col min="4110" max="4110" width="3.21875" style="440" hidden="1"/>
    <col min="4111" max="4111" width="3.77734375" style="440" hidden="1"/>
    <col min="4112" max="4112" width="8.77734375" style="440" hidden="1"/>
    <col min="4113" max="4113" width="31.77734375" style="440" hidden="1"/>
    <col min="4114" max="4114" width="23.44140625" style="440" hidden="1"/>
    <col min="4115" max="4115" width="8.44140625" style="440" hidden="1"/>
    <col min="4116" max="4116" width="11" style="440" hidden="1"/>
    <col min="4117" max="4118" width="31.77734375" style="440" hidden="1"/>
    <col min="4119" max="4119" width="46.44140625" style="440" hidden="1"/>
    <col min="4120" max="4121" width="8.77734375" style="440" hidden="1"/>
    <col min="4122" max="4122" width="15.77734375" style="440" hidden="1"/>
    <col min="4123" max="4123" width="17.44140625" style="440" hidden="1"/>
    <col min="4124" max="4351" width="8.77734375" style="440" hidden="1"/>
    <col min="4352" max="4352" width="5" style="440" hidden="1"/>
    <col min="4353" max="4353" width="35.77734375" style="440" hidden="1"/>
    <col min="4354" max="4354" width="2.77734375" style="440" hidden="1"/>
    <col min="4355" max="4355" width="34.77734375" style="440" hidden="1"/>
    <col min="4356" max="4357" width="2.77734375" style="440" hidden="1"/>
    <col min="4358" max="4360" width="6.5546875" style="440" hidden="1"/>
    <col min="4361" max="4362" width="6.77734375" style="440" hidden="1"/>
    <col min="4363" max="4363" width="6.21875" style="440" hidden="1"/>
    <col min="4364" max="4364" width="5.44140625" style="440" hidden="1"/>
    <col min="4365" max="4365" width="3.44140625" style="440" hidden="1"/>
    <col min="4366" max="4366" width="3.21875" style="440" hidden="1"/>
    <col min="4367" max="4367" width="3.77734375" style="440" hidden="1"/>
    <col min="4368" max="4368" width="8.77734375" style="440" hidden="1"/>
    <col min="4369" max="4369" width="31.77734375" style="440" hidden="1"/>
    <col min="4370" max="4370" width="23.44140625" style="440" hidden="1"/>
    <col min="4371" max="4371" width="8.44140625" style="440" hidden="1"/>
    <col min="4372" max="4372" width="11" style="440" hidden="1"/>
    <col min="4373" max="4374" width="31.77734375" style="440" hidden="1"/>
    <col min="4375" max="4375" width="46.44140625" style="440" hidden="1"/>
    <col min="4376" max="4377" width="8.77734375" style="440" hidden="1"/>
    <col min="4378" max="4378" width="15.77734375" style="440" hidden="1"/>
    <col min="4379" max="4379" width="17.44140625" style="440" hidden="1"/>
    <col min="4380" max="4607" width="8.77734375" style="440" hidden="1"/>
    <col min="4608" max="4608" width="5" style="440" hidden="1"/>
    <col min="4609" max="4609" width="35.77734375" style="440" hidden="1"/>
    <col min="4610" max="4610" width="2.77734375" style="440" hidden="1"/>
    <col min="4611" max="4611" width="34.77734375" style="440" hidden="1"/>
    <col min="4612" max="4613" width="2.77734375" style="440" hidden="1"/>
    <col min="4614" max="4616" width="6.5546875" style="440" hidden="1"/>
    <col min="4617" max="4618" width="6.77734375" style="440" hidden="1"/>
    <col min="4619" max="4619" width="6.21875" style="440" hidden="1"/>
    <col min="4620" max="4620" width="5.44140625" style="440" hidden="1"/>
    <col min="4621" max="4621" width="3.44140625" style="440" hidden="1"/>
    <col min="4622" max="4622" width="3.21875" style="440" hidden="1"/>
    <col min="4623" max="4623" width="3.77734375" style="440" hidden="1"/>
    <col min="4624" max="4624" width="8.77734375" style="440" hidden="1"/>
    <col min="4625" max="4625" width="31.77734375" style="440" hidden="1"/>
    <col min="4626" max="4626" width="23.44140625" style="440" hidden="1"/>
    <col min="4627" max="4627" width="8.44140625" style="440" hidden="1"/>
    <col min="4628" max="4628" width="11" style="440" hidden="1"/>
    <col min="4629" max="4630" width="31.77734375" style="440" hidden="1"/>
    <col min="4631" max="4631" width="46.44140625" style="440" hidden="1"/>
    <col min="4632" max="4633" width="8.77734375" style="440" hidden="1"/>
    <col min="4634" max="4634" width="15.77734375" style="440" hidden="1"/>
    <col min="4635" max="4635" width="17.44140625" style="440" hidden="1"/>
    <col min="4636" max="4863" width="8.77734375" style="440" hidden="1"/>
    <col min="4864" max="4864" width="5" style="440" hidden="1"/>
    <col min="4865" max="4865" width="35.77734375" style="440" hidden="1"/>
    <col min="4866" max="4866" width="2.77734375" style="440" hidden="1"/>
    <col min="4867" max="4867" width="34.77734375" style="440" hidden="1"/>
    <col min="4868" max="4869" width="2.77734375" style="440" hidden="1"/>
    <col min="4870" max="4872" width="6.5546875" style="440" hidden="1"/>
    <col min="4873" max="4874" width="6.77734375" style="440" hidden="1"/>
    <col min="4875" max="4875" width="6.21875" style="440" hidden="1"/>
    <col min="4876" max="4876" width="5.44140625" style="440" hidden="1"/>
    <col min="4877" max="4877" width="3.44140625" style="440" hidden="1"/>
    <col min="4878" max="4878" width="3.21875" style="440" hidden="1"/>
    <col min="4879" max="4879" width="3.77734375" style="440" hidden="1"/>
    <col min="4880" max="4880" width="8.77734375" style="440" hidden="1"/>
    <col min="4881" max="4881" width="31.77734375" style="440" hidden="1"/>
    <col min="4882" max="4882" width="23.44140625" style="440" hidden="1"/>
    <col min="4883" max="4883" width="8.44140625" style="440" hidden="1"/>
    <col min="4884" max="4884" width="11" style="440" hidden="1"/>
    <col min="4885" max="4886" width="31.77734375" style="440" hidden="1"/>
    <col min="4887" max="4887" width="46.44140625" style="440" hidden="1"/>
    <col min="4888" max="4889" width="8.77734375" style="440" hidden="1"/>
    <col min="4890" max="4890" width="15.77734375" style="440" hidden="1"/>
    <col min="4891" max="4891" width="17.44140625" style="440" hidden="1"/>
    <col min="4892" max="5119" width="8.77734375" style="440" hidden="1"/>
    <col min="5120" max="5120" width="5" style="440" hidden="1"/>
    <col min="5121" max="5121" width="35.77734375" style="440" hidden="1"/>
    <col min="5122" max="5122" width="2.77734375" style="440" hidden="1"/>
    <col min="5123" max="5123" width="34.77734375" style="440" hidden="1"/>
    <col min="5124" max="5125" width="2.77734375" style="440" hidden="1"/>
    <col min="5126" max="5128" width="6.5546875" style="440" hidden="1"/>
    <col min="5129" max="5130" width="6.77734375" style="440" hidden="1"/>
    <col min="5131" max="5131" width="6.21875" style="440" hidden="1"/>
    <col min="5132" max="5132" width="5.44140625" style="440" hidden="1"/>
    <col min="5133" max="5133" width="3.44140625" style="440" hidden="1"/>
    <col min="5134" max="5134" width="3.21875" style="440" hidden="1"/>
    <col min="5135" max="5135" width="3.77734375" style="440" hidden="1"/>
    <col min="5136" max="5136" width="8.77734375" style="440" hidden="1"/>
    <col min="5137" max="5137" width="31.77734375" style="440" hidden="1"/>
    <col min="5138" max="5138" width="23.44140625" style="440" hidden="1"/>
    <col min="5139" max="5139" width="8.44140625" style="440" hidden="1"/>
    <col min="5140" max="5140" width="11" style="440" hidden="1"/>
    <col min="5141" max="5142" width="31.77734375" style="440" hidden="1"/>
    <col min="5143" max="5143" width="46.44140625" style="440" hidden="1"/>
    <col min="5144" max="5145" width="8.77734375" style="440" hidden="1"/>
    <col min="5146" max="5146" width="15.77734375" style="440" hidden="1"/>
    <col min="5147" max="5147" width="17.44140625" style="440" hidden="1"/>
    <col min="5148" max="5375" width="8.77734375" style="440" hidden="1"/>
    <col min="5376" max="5376" width="5" style="440" hidden="1"/>
    <col min="5377" max="5377" width="35.77734375" style="440" hidden="1"/>
    <col min="5378" max="5378" width="2.77734375" style="440" hidden="1"/>
    <col min="5379" max="5379" width="34.77734375" style="440" hidden="1"/>
    <col min="5380" max="5381" width="2.77734375" style="440" hidden="1"/>
    <col min="5382" max="5384" width="6.5546875" style="440" hidden="1"/>
    <col min="5385" max="5386" width="6.77734375" style="440" hidden="1"/>
    <col min="5387" max="5387" width="6.21875" style="440" hidden="1"/>
    <col min="5388" max="5388" width="5.44140625" style="440" hidden="1"/>
    <col min="5389" max="5389" width="3.44140625" style="440" hidden="1"/>
    <col min="5390" max="5390" width="3.21875" style="440" hidden="1"/>
    <col min="5391" max="5391" width="3.77734375" style="440" hidden="1"/>
    <col min="5392" max="5392" width="8.77734375" style="440" hidden="1"/>
    <col min="5393" max="5393" width="31.77734375" style="440" hidden="1"/>
    <col min="5394" max="5394" width="23.44140625" style="440" hidden="1"/>
    <col min="5395" max="5395" width="8.44140625" style="440" hidden="1"/>
    <col min="5396" max="5396" width="11" style="440" hidden="1"/>
    <col min="5397" max="5398" width="31.77734375" style="440" hidden="1"/>
    <col min="5399" max="5399" width="46.44140625" style="440" hidden="1"/>
    <col min="5400" max="5401" width="8.77734375" style="440" hidden="1"/>
    <col min="5402" max="5402" width="15.77734375" style="440" hidden="1"/>
    <col min="5403" max="5403" width="17.44140625" style="440" hidden="1"/>
    <col min="5404" max="5631" width="8.77734375" style="440" hidden="1"/>
    <col min="5632" max="5632" width="5" style="440" hidden="1"/>
    <col min="5633" max="5633" width="35.77734375" style="440" hidden="1"/>
    <col min="5634" max="5634" width="2.77734375" style="440" hidden="1"/>
    <col min="5635" max="5635" width="34.77734375" style="440" hidden="1"/>
    <col min="5636" max="5637" width="2.77734375" style="440" hidden="1"/>
    <col min="5638" max="5640" width="6.5546875" style="440" hidden="1"/>
    <col min="5641" max="5642" width="6.77734375" style="440" hidden="1"/>
    <col min="5643" max="5643" width="6.21875" style="440" hidden="1"/>
    <col min="5644" max="5644" width="5.44140625" style="440" hidden="1"/>
    <col min="5645" max="5645" width="3.44140625" style="440" hidden="1"/>
    <col min="5646" max="5646" width="3.21875" style="440" hidden="1"/>
    <col min="5647" max="5647" width="3.77734375" style="440" hidden="1"/>
    <col min="5648" max="5648" width="8.77734375" style="440" hidden="1"/>
    <col min="5649" max="5649" width="31.77734375" style="440" hidden="1"/>
    <col min="5650" max="5650" width="23.44140625" style="440" hidden="1"/>
    <col min="5651" max="5651" width="8.44140625" style="440" hidden="1"/>
    <col min="5652" max="5652" width="11" style="440" hidden="1"/>
    <col min="5653" max="5654" width="31.77734375" style="440" hidden="1"/>
    <col min="5655" max="5655" width="46.44140625" style="440" hidden="1"/>
    <col min="5656" max="5657" width="8.77734375" style="440" hidden="1"/>
    <col min="5658" max="5658" width="15.77734375" style="440" hidden="1"/>
    <col min="5659" max="5659" width="17.44140625" style="440" hidden="1"/>
    <col min="5660" max="5887" width="8.77734375" style="440" hidden="1"/>
    <col min="5888" max="5888" width="5" style="440" hidden="1"/>
    <col min="5889" max="5889" width="35.77734375" style="440" hidden="1"/>
    <col min="5890" max="5890" width="2.77734375" style="440" hidden="1"/>
    <col min="5891" max="5891" width="34.77734375" style="440" hidden="1"/>
    <col min="5892" max="5893" width="2.77734375" style="440" hidden="1"/>
    <col min="5894" max="5896" width="6.5546875" style="440" hidden="1"/>
    <col min="5897" max="5898" width="6.77734375" style="440" hidden="1"/>
    <col min="5899" max="5899" width="6.21875" style="440" hidden="1"/>
    <col min="5900" max="5900" width="5.44140625" style="440" hidden="1"/>
    <col min="5901" max="5901" width="3.44140625" style="440" hidden="1"/>
    <col min="5902" max="5902" width="3.21875" style="440" hidden="1"/>
    <col min="5903" max="5903" width="3.77734375" style="440" hidden="1"/>
    <col min="5904" max="5904" width="8.77734375" style="440" hidden="1"/>
    <col min="5905" max="5905" width="31.77734375" style="440" hidden="1"/>
    <col min="5906" max="5906" width="23.44140625" style="440" hidden="1"/>
    <col min="5907" max="5907" width="8.44140625" style="440" hidden="1"/>
    <col min="5908" max="5908" width="11" style="440" hidden="1"/>
    <col min="5909" max="5910" width="31.77734375" style="440" hidden="1"/>
    <col min="5911" max="5911" width="46.44140625" style="440" hidden="1"/>
    <col min="5912" max="5913" width="8.77734375" style="440" hidden="1"/>
    <col min="5914" max="5914" width="15.77734375" style="440" hidden="1"/>
    <col min="5915" max="5915" width="17.44140625" style="440" hidden="1"/>
    <col min="5916" max="6143" width="8.77734375" style="440" hidden="1"/>
    <col min="6144" max="6144" width="5" style="440" hidden="1"/>
    <col min="6145" max="6145" width="35.77734375" style="440" hidden="1"/>
    <col min="6146" max="6146" width="2.77734375" style="440" hidden="1"/>
    <col min="6147" max="6147" width="34.77734375" style="440" hidden="1"/>
    <col min="6148" max="6149" width="2.77734375" style="440" hidden="1"/>
    <col min="6150" max="6152" width="6.5546875" style="440" hidden="1"/>
    <col min="6153" max="6154" width="6.77734375" style="440" hidden="1"/>
    <col min="6155" max="6155" width="6.21875" style="440" hidden="1"/>
    <col min="6156" max="6156" width="5.44140625" style="440" hidden="1"/>
    <col min="6157" max="6157" width="3.44140625" style="440" hidden="1"/>
    <col min="6158" max="6158" width="3.21875" style="440" hidden="1"/>
    <col min="6159" max="6159" width="3.77734375" style="440" hidden="1"/>
    <col min="6160" max="6160" width="8.77734375" style="440" hidden="1"/>
    <col min="6161" max="6161" width="31.77734375" style="440" hidden="1"/>
    <col min="6162" max="6162" width="23.44140625" style="440" hidden="1"/>
    <col min="6163" max="6163" width="8.44140625" style="440" hidden="1"/>
    <col min="6164" max="6164" width="11" style="440" hidden="1"/>
    <col min="6165" max="6166" width="31.77734375" style="440" hidden="1"/>
    <col min="6167" max="6167" width="46.44140625" style="440" hidden="1"/>
    <col min="6168" max="6169" width="8.77734375" style="440" hidden="1"/>
    <col min="6170" max="6170" width="15.77734375" style="440" hidden="1"/>
    <col min="6171" max="6171" width="17.44140625" style="440" hidden="1"/>
    <col min="6172" max="6399" width="8.77734375" style="440" hidden="1"/>
    <col min="6400" max="6400" width="5" style="440" hidden="1"/>
    <col min="6401" max="6401" width="35.77734375" style="440" hidden="1"/>
    <col min="6402" max="6402" width="2.77734375" style="440" hidden="1"/>
    <col min="6403" max="6403" width="34.77734375" style="440" hidden="1"/>
    <col min="6404" max="6405" width="2.77734375" style="440" hidden="1"/>
    <col min="6406" max="6408" width="6.5546875" style="440" hidden="1"/>
    <col min="6409" max="6410" width="6.77734375" style="440" hidden="1"/>
    <col min="6411" max="6411" width="6.21875" style="440" hidden="1"/>
    <col min="6412" max="6412" width="5.44140625" style="440" hidden="1"/>
    <col min="6413" max="6413" width="3.44140625" style="440" hidden="1"/>
    <col min="6414" max="6414" width="3.21875" style="440" hidden="1"/>
    <col min="6415" max="6415" width="3.77734375" style="440" hidden="1"/>
    <col min="6416" max="6416" width="8.77734375" style="440" hidden="1"/>
    <col min="6417" max="6417" width="31.77734375" style="440" hidden="1"/>
    <col min="6418" max="6418" width="23.44140625" style="440" hidden="1"/>
    <col min="6419" max="6419" width="8.44140625" style="440" hidden="1"/>
    <col min="6420" max="6420" width="11" style="440" hidden="1"/>
    <col min="6421" max="6422" width="31.77734375" style="440" hidden="1"/>
    <col min="6423" max="6423" width="46.44140625" style="440" hidden="1"/>
    <col min="6424" max="6425" width="8.77734375" style="440" hidden="1"/>
    <col min="6426" max="6426" width="15.77734375" style="440" hidden="1"/>
    <col min="6427" max="6427" width="17.44140625" style="440" hidden="1"/>
    <col min="6428" max="6655" width="8.77734375" style="440" hidden="1"/>
    <col min="6656" max="6656" width="5" style="440" hidden="1"/>
    <col min="6657" max="6657" width="35.77734375" style="440" hidden="1"/>
    <col min="6658" max="6658" width="2.77734375" style="440" hidden="1"/>
    <col min="6659" max="6659" width="34.77734375" style="440" hidden="1"/>
    <col min="6660" max="6661" width="2.77734375" style="440" hidden="1"/>
    <col min="6662" max="6664" width="6.5546875" style="440" hidden="1"/>
    <col min="6665" max="6666" width="6.77734375" style="440" hidden="1"/>
    <col min="6667" max="6667" width="6.21875" style="440" hidden="1"/>
    <col min="6668" max="6668" width="5.44140625" style="440" hidden="1"/>
    <col min="6669" max="6669" width="3.44140625" style="440" hidden="1"/>
    <col min="6670" max="6670" width="3.21875" style="440" hidden="1"/>
    <col min="6671" max="6671" width="3.77734375" style="440" hidden="1"/>
    <col min="6672" max="6672" width="8.77734375" style="440" hidden="1"/>
    <col min="6673" max="6673" width="31.77734375" style="440" hidden="1"/>
    <col min="6674" max="6674" width="23.44140625" style="440" hidden="1"/>
    <col min="6675" max="6675" width="8.44140625" style="440" hidden="1"/>
    <col min="6676" max="6676" width="11" style="440" hidden="1"/>
    <col min="6677" max="6678" width="31.77734375" style="440" hidden="1"/>
    <col min="6679" max="6679" width="46.44140625" style="440" hidden="1"/>
    <col min="6680" max="6681" width="8.77734375" style="440" hidden="1"/>
    <col min="6682" max="6682" width="15.77734375" style="440" hidden="1"/>
    <col min="6683" max="6683" width="17.44140625" style="440" hidden="1"/>
    <col min="6684" max="6911" width="8.77734375" style="440" hidden="1"/>
    <col min="6912" max="6912" width="5" style="440" hidden="1"/>
    <col min="6913" max="6913" width="35.77734375" style="440" hidden="1"/>
    <col min="6914" max="6914" width="2.77734375" style="440" hidden="1"/>
    <col min="6915" max="6915" width="34.77734375" style="440" hidden="1"/>
    <col min="6916" max="6917" width="2.77734375" style="440" hidden="1"/>
    <col min="6918" max="6920" width="6.5546875" style="440" hidden="1"/>
    <col min="6921" max="6922" width="6.77734375" style="440" hidden="1"/>
    <col min="6923" max="6923" width="6.21875" style="440" hidden="1"/>
    <col min="6924" max="6924" width="5.44140625" style="440" hidden="1"/>
    <col min="6925" max="6925" width="3.44140625" style="440" hidden="1"/>
    <col min="6926" max="6926" width="3.21875" style="440" hidden="1"/>
    <col min="6927" max="6927" width="3.77734375" style="440" hidden="1"/>
    <col min="6928" max="6928" width="8.77734375" style="440" hidden="1"/>
    <col min="6929" max="6929" width="31.77734375" style="440" hidden="1"/>
    <col min="6930" max="6930" width="23.44140625" style="440" hidden="1"/>
    <col min="6931" max="6931" width="8.44140625" style="440" hidden="1"/>
    <col min="6932" max="6932" width="11" style="440" hidden="1"/>
    <col min="6933" max="6934" width="31.77734375" style="440" hidden="1"/>
    <col min="6935" max="6935" width="46.44140625" style="440" hidden="1"/>
    <col min="6936" max="6937" width="8.77734375" style="440" hidden="1"/>
    <col min="6938" max="6938" width="15.77734375" style="440" hidden="1"/>
    <col min="6939" max="6939" width="17.44140625" style="440" hidden="1"/>
    <col min="6940" max="7167" width="8.77734375" style="440" hidden="1"/>
    <col min="7168" max="7168" width="5" style="440" hidden="1"/>
    <col min="7169" max="7169" width="35.77734375" style="440" hidden="1"/>
    <col min="7170" max="7170" width="2.77734375" style="440" hidden="1"/>
    <col min="7171" max="7171" width="34.77734375" style="440" hidden="1"/>
    <col min="7172" max="7173" width="2.77734375" style="440" hidden="1"/>
    <col min="7174" max="7176" width="6.5546875" style="440" hidden="1"/>
    <col min="7177" max="7178" width="6.77734375" style="440" hidden="1"/>
    <col min="7179" max="7179" width="6.21875" style="440" hidden="1"/>
    <col min="7180" max="7180" width="5.44140625" style="440" hidden="1"/>
    <col min="7181" max="7181" width="3.44140625" style="440" hidden="1"/>
    <col min="7182" max="7182" width="3.21875" style="440" hidden="1"/>
    <col min="7183" max="7183" width="3.77734375" style="440" hidden="1"/>
    <col min="7184" max="7184" width="8.77734375" style="440" hidden="1"/>
    <col min="7185" max="7185" width="31.77734375" style="440" hidden="1"/>
    <col min="7186" max="7186" width="23.44140625" style="440" hidden="1"/>
    <col min="7187" max="7187" width="8.44140625" style="440" hidden="1"/>
    <col min="7188" max="7188" width="11" style="440" hidden="1"/>
    <col min="7189" max="7190" width="31.77734375" style="440" hidden="1"/>
    <col min="7191" max="7191" width="46.44140625" style="440" hidden="1"/>
    <col min="7192" max="7193" width="8.77734375" style="440" hidden="1"/>
    <col min="7194" max="7194" width="15.77734375" style="440" hidden="1"/>
    <col min="7195" max="7195" width="17.44140625" style="440" hidden="1"/>
    <col min="7196" max="7423" width="8.77734375" style="440" hidden="1"/>
    <col min="7424" max="7424" width="5" style="440" hidden="1"/>
    <col min="7425" max="7425" width="35.77734375" style="440" hidden="1"/>
    <col min="7426" max="7426" width="2.77734375" style="440" hidden="1"/>
    <col min="7427" max="7427" width="34.77734375" style="440" hidden="1"/>
    <col min="7428" max="7429" width="2.77734375" style="440" hidden="1"/>
    <col min="7430" max="7432" width="6.5546875" style="440" hidden="1"/>
    <col min="7433" max="7434" width="6.77734375" style="440" hidden="1"/>
    <col min="7435" max="7435" width="6.21875" style="440" hidden="1"/>
    <col min="7436" max="7436" width="5.44140625" style="440" hidden="1"/>
    <col min="7437" max="7437" width="3.44140625" style="440" hidden="1"/>
    <col min="7438" max="7438" width="3.21875" style="440" hidden="1"/>
    <col min="7439" max="7439" width="3.77734375" style="440" hidden="1"/>
    <col min="7440" max="7440" width="8.77734375" style="440" hidden="1"/>
    <col min="7441" max="7441" width="31.77734375" style="440" hidden="1"/>
    <col min="7442" max="7442" width="23.44140625" style="440" hidden="1"/>
    <col min="7443" max="7443" width="8.44140625" style="440" hidden="1"/>
    <col min="7444" max="7444" width="11" style="440" hidden="1"/>
    <col min="7445" max="7446" width="31.77734375" style="440" hidden="1"/>
    <col min="7447" max="7447" width="46.44140625" style="440" hidden="1"/>
    <col min="7448" max="7449" width="8.77734375" style="440" hidden="1"/>
    <col min="7450" max="7450" width="15.77734375" style="440" hidden="1"/>
    <col min="7451" max="7451" width="17.44140625" style="440" hidden="1"/>
    <col min="7452" max="7679" width="8.77734375" style="440" hidden="1"/>
    <col min="7680" max="7680" width="5" style="440" hidden="1"/>
    <col min="7681" max="7681" width="35.77734375" style="440" hidden="1"/>
    <col min="7682" max="7682" width="2.77734375" style="440" hidden="1"/>
    <col min="7683" max="7683" width="34.77734375" style="440" hidden="1"/>
    <col min="7684" max="7685" width="2.77734375" style="440" hidden="1"/>
    <col min="7686" max="7688" width="6.5546875" style="440" hidden="1"/>
    <col min="7689" max="7690" width="6.77734375" style="440" hidden="1"/>
    <col min="7691" max="7691" width="6.21875" style="440" hidden="1"/>
    <col min="7692" max="7692" width="5.44140625" style="440" hidden="1"/>
    <col min="7693" max="7693" width="3.44140625" style="440" hidden="1"/>
    <col min="7694" max="7694" width="3.21875" style="440" hidden="1"/>
    <col min="7695" max="7695" width="3.77734375" style="440" hidden="1"/>
    <col min="7696" max="7696" width="8.77734375" style="440" hidden="1"/>
    <col min="7697" max="7697" width="31.77734375" style="440" hidden="1"/>
    <col min="7698" max="7698" width="23.44140625" style="440" hidden="1"/>
    <col min="7699" max="7699" width="8.44140625" style="440" hidden="1"/>
    <col min="7700" max="7700" width="11" style="440" hidden="1"/>
    <col min="7701" max="7702" width="31.77734375" style="440" hidden="1"/>
    <col min="7703" max="7703" width="46.44140625" style="440" hidden="1"/>
    <col min="7704" max="7705" width="8.77734375" style="440" hidden="1"/>
    <col min="7706" max="7706" width="15.77734375" style="440" hidden="1"/>
    <col min="7707" max="7707" width="17.44140625" style="440" hidden="1"/>
    <col min="7708" max="7935" width="8.77734375" style="440" hidden="1"/>
    <col min="7936" max="7936" width="5" style="440" hidden="1"/>
    <col min="7937" max="7937" width="35.77734375" style="440" hidden="1"/>
    <col min="7938" max="7938" width="2.77734375" style="440" hidden="1"/>
    <col min="7939" max="7939" width="34.77734375" style="440" hidden="1"/>
    <col min="7940" max="7941" width="2.77734375" style="440" hidden="1"/>
    <col min="7942" max="7944" width="6.5546875" style="440" hidden="1"/>
    <col min="7945" max="7946" width="6.77734375" style="440" hidden="1"/>
    <col min="7947" max="7947" width="6.21875" style="440" hidden="1"/>
    <col min="7948" max="7948" width="5.44140625" style="440" hidden="1"/>
    <col min="7949" max="7949" width="3.44140625" style="440" hidden="1"/>
    <col min="7950" max="7950" width="3.21875" style="440" hidden="1"/>
    <col min="7951" max="7951" width="3.77734375" style="440" hidden="1"/>
    <col min="7952" max="7952" width="8.77734375" style="440" hidden="1"/>
    <col min="7953" max="7953" width="31.77734375" style="440" hidden="1"/>
    <col min="7954" max="7954" width="23.44140625" style="440" hidden="1"/>
    <col min="7955" max="7955" width="8.44140625" style="440" hidden="1"/>
    <col min="7956" max="7956" width="11" style="440" hidden="1"/>
    <col min="7957" max="7958" width="31.77734375" style="440" hidden="1"/>
    <col min="7959" max="7959" width="46.44140625" style="440" hidden="1"/>
    <col min="7960" max="7961" width="8.77734375" style="440" hidden="1"/>
    <col min="7962" max="7962" width="15.77734375" style="440" hidden="1"/>
    <col min="7963" max="7963" width="17.44140625" style="440" hidden="1"/>
    <col min="7964" max="8191" width="8.77734375" style="440" hidden="1"/>
    <col min="8192" max="8192" width="5" style="440" hidden="1"/>
    <col min="8193" max="8193" width="35.77734375" style="440" hidden="1"/>
    <col min="8194" max="8194" width="2.77734375" style="440" hidden="1"/>
    <col min="8195" max="8195" width="34.77734375" style="440" hidden="1"/>
    <col min="8196" max="8197" width="2.77734375" style="440" hidden="1"/>
    <col min="8198" max="8200" width="6.5546875" style="440" hidden="1"/>
    <col min="8201" max="8202" width="6.77734375" style="440" hidden="1"/>
    <col min="8203" max="8203" width="6.21875" style="440" hidden="1"/>
    <col min="8204" max="8204" width="5.44140625" style="440" hidden="1"/>
    <col min="8205" max="8205" width="3.44140625" style="440" hidden="1"/>
    <col min="8206" max="8206" width="3.21875" style="440" hidden="1"/>
    <col min="8207" max="8207" width="3.77734375" style="440" hidden="1"/>
    <col min="8208" max="8208" width="8.77734375" style="440" hidden="1"/>
    <col min="8209" max="8209" width="31.77734375" style="440" hidden="1"/>
    <col min="8210" max="8210" width="23.44140625" style="440" hidden="1"/>
    <col min="8211" max="8211" width="8.44140625" style="440" hidden="1"/>
    <col min="8212" max="8212" width="11" style="440" hidden="1"/>
    <col min="8213" max="8214" width="31.77734375" style="440" hidden="1"/>
    <col min="8215" max="8215" width="46.44140625" style="440" hidden="1"/>
    <col min="8216" max="8217" width="8.77734375" style="440" hidden="1"/>
    <col min="8218" max="8218" width="15.77734375" style="440" hidden="1"/>
    <col min="8219" max="8219" width="17.44140625" style="440" hidden="1"/>
    <col min="8220" max="8447" width="8.77734375" style="440" hidden="1"/>
    <col min="8448" max="8448" width="5" style="440" hidden="1"/>
    <col min="8449" max="8449" width="35.77734375" style="440" hidden="1"/>
    <col min="8450" max="8450" width="2.77734375" style="440" hidden="1"/>
    <col min="8451" max="8451" width="34.77734375" style="440" hidden="1"/>
    <col min="8452" max="8453" width="2.77734375" style="440" hidden="1"/>
    <col min="8454" max="8456" width="6.5546875" style="440" hidden="1"/>
    <col min="8457" max="8458" width="6.77734375" style="440" hidden="1"/>
    <col min="8459" max="8459" width="6.21875" style="440" hidden="1"/>
    <col min="8460" max="8460" width="5.44140625" style="440" hidden="1"/>
    <col min="8461" max="8461" width="3.44140625" style="440" hidden="1"/>
    <col min="8462" max="8462" width="3.21875" style="440" hidden="1"/>
    <col min="8463" max="8463" width="3.77734375" style="440" hidden="1"/>
    <col min="8464" max="8464" width="8.77734375" style="440" hidden="1"/>
    <col min="8465" max="8465" width="31.77734375" style="440" hidden="1"/>
    <col min="8466" max="8466" width="23.44140625" style="440" hidden="1"/>
    <col min="8467" max="8467" width="8.44140625" style="440" hidden="1"/>
    <col min="8468" max="8468" width="11" style="440" hidden="1"/>
    <col min="8469" max="8470" width="31.77734375" style="440" hidden="1"/>
    <col min="8471" max="8471" width="46.44140625" style="440" hidden="1"/>
    <col min="8472" max="8473" width="8.77734375" style="440" hidden="1"/>
    <col min="8474" max="8474" width="15.77734375" style="440" hidden="1"/>
    <col min="8475" max="8475" width="17.44140625" style="440" hidden="1"/>
    <col min="8476" max="8703" width="8.77734375" style="440" hidden="1"/>
    <col min="8704" max="8704" width="5" style="440" hidden="1"/>
    <col min="8705" max="8705" width="35.77734375" style="440" hidden="1"/>
    <col min="8706" max="8706" width="2.77734375" style="440" hidden="1"/>
    <col min="8707" max="8707" width="34.77734375" style="440" hidden="1"/>
    <col min="8708" max="8709" width="2.77734375" style="440" hidden="1"/>
    <col min="8710" max="8712" width="6.5546875" style="440" hidden="1"/>
    <col min="8713" max="8714" width="6.77734375" style="440" hidden="1"/>
    <col min="8715" max="8715" width="6.21875" style="440" hidden="1"/>
    <col min="8716" max="8716" width="5.44140625" style="440" hidden="1"/>
    <col min="8717" max="8717" width="3.44140625" style="440" hidden="1"/>
    <col min="8718" max="8718" width="3.21875" style="440" hidden="1"/>
    <col min="8719" max="8719" width="3.77734375" style="440" hidden="1"/>
    <col min="8720" max="8720" width="8.77734375" style="440" hidden="1"/>
    <col min="8721" max="8721" width="31.77734375" style="440" hidden="1"/>
    <col min="8722" max="8722" width="23.44140625" style="440" hidden="1"/>
    <col min="8723" max="8723" width="8.44140625" style="440" hidden="1"/>
    <col min="8724" max="8724" width="11" style="440" hidden="1"/>
    <col min="8725" max="8726" width="31.77734375" style="440" hidden="1"/>
    <col min="8727" max="8727" width="46.44140625" style="440" hidden="1"/>
    <col min="8728" max="8729" width="8.77734375" style="440" hidden="1"/>
    <col min="8730" max="8730" width="15.77734375" style="440" hidden="1"/>
    <col min="8731" max="8731" width="17.44140625" style="440" hidden="1"/>
    <col min="8732" max="8959" width="8.77734375" style="440" hidden="1"/>
    <col min="8960" max="8960" width="5" style="440" hidden="1"/>
    <col min="8961" max="8961" width="35.77734375" style="440" hidden="1"/>
    <col min="8962" max="8962" width="2.77734375" style="440" hidden="1"/>
    <col min="8963" max="8963" width="34.77734375" style="440" hidden="1"/>
    <col min="8964" max="8965" width="2.77734375" style="440" hidden="1"/>
    <col min="8966" max="8968" width="6.5546875" style="440" hidden="1"/>
    <col min="8969" max="8970" width="6.77734375" style="440" hidden="1"/>
    <col min="8971" max="8971" width="6.21875" style="440" hidden="1"/>
    <col min="8972" max="8972" width="5.44140625" style="440" hidden="1"/>
    <col min="8973" max="8973" width="3.44140625" style="440" hidden="1"/>
    <col min="8974" max="8974" width="3.21875" style="440" hidden="1"/>
    <col min="8975" max="8975" width="3.77734375" style="440" hidden="1"/>
    <col min="8976" max="8976" width="8.77734375" style="440" hidden="1"/>
    <col min="8977" max="8977" width="31.77734375" style="440" hidden="1"/>
    <col min="8978" max="8978" width="23.44140625" style="440" hidden="1"/>
    <col min="8979" max="8979" width="8.44140625" style="440" hidden="1"/>
    <col min="8980" max="8980" width="11" style="440" hidden="1"/>
    <col min="8981" max="8982" width="31.77734375" style="440" hidden="1"/>
    <col min="8983" max="8983" width="46.44140625" style="440" hidden="1"/>
    <col min="8984" max="8985" width="8.77734375" style="440" hidden="1"/>
    <col min="8986" max="8986" width="15.77734375" style="440" hidden="1"/>
    <col min="8987" max="8987" width="17.44140625" style="440" hidden="1"/>
    <col min="8988" max="9215" width="8.77734375" style="440" hidden="1"/>
    <col min="9216" max="9216" width="5" style="440" hidden="1"/>
    <col min="9217" max="9217" width="35.77734375" style="440" hidden="1"/>
    <col min="9218" max="9218" width="2.77734375" style="440" hidden="1"/>
    <col min="9219" max="9219" width="34.77734375" style="440" hidden="1"/>
    <col min="9220" max="9221" width="2.77734375" style="440" hidden="1"/>
    <col min="9222" max="9224" width="6.5546875" style="440" hidden="1"/>
    <col min="9225" max="9226" width="6.77734375" style="440" hidden="1"/>
    <col min="9227" max="9227" width="6.21875" style="440" hidden="1"/>
    <col min="9228" max="9228" width="5.44140625" style="440" hidden="1"/>
    <col min="9229" max="9229" width="3.44140625" style="440" hidden="1"/>
    <col min="9230" max="9230" width="3.21875" style="440" hidden="1"/>
    <col min="9231" max="9231" width="3.77734375" style="440" hidden="1"/>
    <col min="9232" max="9232" width="8.77734375" style="440" hidden="1"/>
    <col min="9233" max="9233" width="31.77734375" style="440" hidden="1"/>
    <col min="9234" max="9234" width="23.44140625" style="440" hidden="1"/>
    <col min="9235" max="9235" width="8.44140625" style="440" hidden="1"/>
    <col min="9236" max="9236" width="11" style="440" hidden="1"/>
    <col min="9237" max="9238" width="31.77734375" style="440" hidden="1"/>
    <col min="9239" max="9239" width="46.44140625" style="440" hidden="1"/>
    <col min="9240" max="9241" width="8.77734375" style="440" hidden="1"/>
    <col min="9242" max="9242" width="15.77734375" style="440" hidden="1"/>
    <col min="9243" max="9243" width="17.44140625" style="440" hidden="1"/>
    <col min="9244" max="9471" width="8.77734375" style="440" hidden="1"/>
    <col min="9472" max="9472" width="5" style="440" hidden="1"/>
    <col min="9473" max="9473" width="35.77734375" style="440" hidden="1"/>
    <col min="9474" max="9474" width="2.77734375" style="440" hidden="1"/>
    <col min="9475" max="9475" width="34.77734375" style="440" hidden="1"/>
    <col min="9476" max="9477" width="2.77734375" style="440" hidden="1"/>
    <col min="9478" max="9480" width="6.5546875" style="440" hidden="1"/>
    <col min="9481" max="9482" width="6.77734375" style="440" hidden="1"/>
    <col min="9483" max="9483" width="6.21875" style="440" hidden="1"/>
    <col min="9484" max="9484" width="5.44140625" style="440" hidden="1"/>
    <col min="9485" max="9485" width="3.44140625" style="440" hidden="1"/>
    <col min="9486" max="9486" width="3.21875" style="440" hidden="1"/>
    <col min="9487" max="9487" width="3.77734375" style="440" hidden="1"/>
    <col min="9488" max="9488" width="8.77734375" style="440" hidden="1"/>
    <col min="9489" max="9489" width="31.77734375" style="440" hidden="1"/>
    <col min="9490" max="9490" width="23.44140625" style="440" hidden="1"/>
    <col min="9491" max="9491" width="8.44140625" style="440" hidden="1"/>
    <col min="9492" max="9492" width="11" style="440" hidden="1"/>
    <col min="9493" max="9494" width="31.77734375" style="440" hidden="1"/>
    <col min="9495" max="9495" width="46.44140625" style="440" hidden="1"/>
    <col min="9496" max="9497" width="8.77734375" style="440" hidden="1"/>
    <col min="9498" max="9498" width="15.77734375" style="440" hidden="1"/>
    <col min="9499" max="9499" width="17.44140625" style="440" hidden="1"/>
    <col min="9500" max="9727" width="8.77734375" style="440" hidden="1"/>
    <col min="9728" max="9728" width="5" style="440" hidden="1"/>
    <col min="9729" max="9729" width="35.77734375" style="440" hidden="1"/>
    <col min="9730" max="9730" width="2.77734375" style="440" hidden="1"/>
    <col min="9731" max="9731" width="34.77734375" style="440" hidden="1"/>
    <col min="9732" max="9733" width="2.77734375" style="440" hidden="1"/>
    <col min="9734" max="9736" width="6.5546875" style="440" hidden="1"/>
    <col min="9737" max="9738" width="6.77734375" style="440" hidden="1"/>
    <col min="9739" max="9739" width="6.21875" style="440" hidden="1"/>
    <col min="9740" max="9740" width="5.44140625" style="440" hidden="1"/>
    <col min="9741" max="9741" width="3.44140625" style="440" hidden="1"/>
    <col min="9742" max="9742" width="3.21875" style="440" hidden="1"/>
    <col min="9743" max="9743" width="3.77734375" style="440" hidden="1"/>
    <col min="9744" max="9744" width="8.77734375" style="440" hidden="1"/>
    <col min="9745" max="9745" width="31.77734375" style="440" hidden="1"/>
    <col min="9746" max="9746" width="23.44140625" style="440" hidden="1"/>
    <col min="9747" max="9747" width="8.44140625" style="440" hidden="1"/>
    <col min="9748" max="9748" width="11" style="440" hidden="1"/>
    <col min="9749" max="9750" width="31.77734375" style="440" hidden="1"/>
    <col min="9751" max="9751" width="46.44140625" style="440" hidden="1"/>
    <col min="9752" max="9753" width="8.77734375" style="440" hidden="1"/>
    <col min="9754" max="9754" width="15.77734375" style="440" hidden="1"/>
    <col min="9755" max="9755" width="17.44140625" style="440" hidden="1"/>
    <col min="9756" max="9983" width="8.77734375" style="440" hidden="1"/>
    <col min="9984" max="9984" width="5" style="440" hidden="1"/>
    <col min="9985" max="9985" width="35.77734375" style="440" hidden="1"/>
    <col min="9986" max="9986" width="2.77734375" style="440" hidden="1"/>
    <col min="9987" max="9987" width="34.77734375" style="440" hidden="1"/>
    <col min="9988" max="9989" width="2.77734375" style="440" hidden="1"/>
    <col min="9990" max="9992" width="6.5546875" style="440" hidden="1"/>
    <col min="9993" max="9994" width="6.77734375" style="440" hidden="1"/>
    <col min="9995" max="9995" width="6.21875" style="440" hidden="1"/>
    <col min="9996" max="9996" width="5.44140625" style="440" hidden="1"/>
    <col min="9997" max="9997" width="3.44140625" style="440" hidden="1"/>
    <col min="9998" max="9998" width="3.21875" style="440" hidden="1"/>
    <col min="9999" max="9999" width="3.77734375" style="440" hidden="1"/>
    <col min="10000" max="10000" width="8.77734375" style="440" hidden="1"/>
    <col min="10001" max="10001" width="31.77734375" style="440" hidden="1"/>
    <col min="10002" max="10002" width="23.44140625" style="440" hidden="1"/>
    <col min="10003" max="10003" width="8.44140625" style="440" hidden="1"/>
    <col min="10004" max="10004" width="11" style="440" hidden="1"/>
    <col min="10005" max="10006" width="31.77734375" style="440" hidden="1"/>
    <col min="10007" max="10007" width="46.44140625" style="440" hidden="1"/>
    <col min="10008" max="10009" width="8.77734375" style="440" hidden="1"/>
    <col min="10010" max="10010" width="15.77734375" style="440" hidden="1"/>
    <col min="10011" max="10011" width="17.44140625" style="440" hidden="1"/>
    <col min="10012" max="10239" width="8.77734375" style="440" hidden="1"/>
    <col min="10240" max="10240" width="5" style="440" hidden="1"/>
    <col min="10241" max="10241" width="35.77734375" style="440" hidden="1"/>
    <col min="10242" max="10242" width="2.77734375" style="440" hidden="1"/>
    <col min="10243" max="10243" width="34.77734375" style="440" hidden="1"/>
    <col min="10244" max="10245" width="2.77734375" style="440" hidden="1"/>
    <col min="10246" max="10248" width="6.5546875" style="440" hidden="1"/>
    <col min="10249" max="10250" width="6.77734375" style="440" hidden="1"/>
    <col min="10251" max="10251" width="6.21875" style="440" hidden="1"/>
    <col min="10252" max="10252" width="5.44140625" style="440" hidden="1"/>
    <col min="10253" max="10253" width="3.44140625" style="440" hidden="1"/>
    <col min="10254" max="10254" width="3.21875" style="440" hidden="1"/>
    <col min="10255" max="10255" width="3.77734375" style="440" hidden="1"/>
    <col min="10256" max="10256" width="8.77734375" style="440" hidden="1"/>
    <col min="10257" max="10257" width="31.77734375" style="440" hidden="1"/>
    <col min="10258" max="10258" width="23.44140625" style="440" hidden="1"/>
    <col min="10259" max="10259" width="8.44140625" style="440" hidden="1"/>
    <col min="10260" max="10260" width="11" style="440" hidden="1"/>
    <col min="10261" max="10262" width="31.77734375" style="440" hidden="1"/>
    <col min="10263" max="10263" width="46.44140625" style="440" hidden="1"/>
    <col min="10264" max="10265" width="8.77734375" style="440" hidden="1"/>
    <col min="10266" max="10266" width="15.77734375" style="440" hidden="1"/>
    <col min="10267" max="10267" width="17.44140625" style="440" hidden="1"/>
    <col min="10268" max="10495" width="8.77734375" style="440" hidden="1"/>
    <col min="10496" max="10496" width="5" style="440" hidden="1"/>
    <col min="10497" max="10497" width="35.77734375" style="440" hidden="1"/>
    <col min="10498" max="10498" width="2.77734375" style="440" hidden="1"/>
    <col min="10499" max="10499" width="34.77734375" style="440" hidden="1"/>
    <col min="10500" max="10501" width="2.77734375" style="440" hidden="1"/>
    <col min="10502" max="10504" width="6.5546875" style="440" hidden="1"/>
    <col min="10505" max="10506" width="6.77734375" style="440" hidden="1"/>
    <col min="10507" max="10507" width="6.21875" style="440" hidden="1"/>
    <col min="10508" max="10508" width="5.44140625" style="440" hidden="1"/>
    <col min="10509" max="10509" width="3.44140625" style="440" hidden="1"/>
    <col min="10510" max="10510" width="3.21875" style="440" hidden="1"/>
    <col min="10511" max="10511" width="3.77734375" style="440" hidden="1"/>
    <col min="10512" max="10512" width="8.77734375" style="440" hidden="1"/>
    <col min="10513" max="10513" width="31.77734375" style="440" hidden="1"/>
    <col min="10514" max="10514" width="23.44140625" style="440" hidden="1"/>
    <col min="10515" max="10515" width="8.44140625" style="440" hidden="1"/>
    <col min="10516" max="10516" width="11" style="440" hidden="1"/>
    <col min="10517" max="10518" width="31.77734375" style="440" hidden="1"/>
    <col min="10519" max="10519" width="46.44140625" style="440" hidden="1"/>
    <col min="10520" max="10521" width="8.77734375" style="440" hidden="1"/>
    <col min="10522" max="10522" width="15.77734375" style="440" hidden="1"/>
    <col min="10523" max="10523" width="17.44140625" style="440" hidden="1"/>
    <col min="10524" max="10751" width="8.77734375" style="440" hidden="1"/>
    <col min="10752" max="10752" width="5" style="440" hidden="1"/>
    <col min="10753" max="10753" width="35.77734375" style="440" hidden="1"/>
    <col min="10754" max="10754" width="2.77734375" style="440" hidden="1"/>
    <col min="10755" max="10755" width="34.77734375" style="440" hidden="1"/>
    <col min="10756" max="10757" width="2.77734375" style="440" hidden="1"/>
    <col min="10758" max="10760" width="6.5546875" style="440" hidden="1"/>
    <col min="10761" max="10762" width="6.77734375" style="440" hidden="1"/>
    <col min="10763" max="10763" width="6.21875" style="440" hidden="1"/>
    <col min="10764" max="10764" width="5.44140625" style="440" hidden="1"/>
    <col min="10765" max="10765" width="3.44140625" style="440" hidden="1"/>
    <col min="10766" max="10766" width="3.21875" style="440" hidden="1"/>
    <col min="10767" max="10767" width="3.77734375" style="440" hidden="1"/>
    <col min="10768" max="10768" width="8.77734375" style="440" hidden="1"/>
    <col min="10769" max="10769" width="31.77734375" style="440" hidden="1"/>
    <col min="10770" max="10770" width="23.44140625" style="440" hidden="1"/>
    <col min="10771" max="10771" width="8.44140625" style="440" hidden="1"/>
    <col min="10772" max="10772" width="11" style="440" hidden="1"/>
    <col min="10773" max="10774" width="31.77734375" style="440" hidden="1"/>
    <col min="10775" max="10775" width="46.44140625" style="440" hidden="1"/>
    <col min="10776" max="10777" width="8.77734375" style="440" hidden="1"/>
    <col min="10778" max="10778" width="15.77734375" style="440" hidden="1"/>
    <col min="10779" max="10779" width="17.44140625" style="440" hidden="1"/>
    <col min="10780" max="11007" width="8.77734375" style="440" hidden="1"/>
    <col min="11008" max="11008" width="5" style="440" hidden="1"/>
    <col min="11009" max="11009" width="35.77734375" style="440" hidden="1"/>
    <col min="11010" max="11010" width="2.77734375" style="440" hidden="1"/>
    <col min="11011" max="11011" width="34.77734375" style="440" hidden="1"/>
    <col min="11012" max="11013" width="2.77734375" style="440" hidden="1"/>
    <col min="11014" max="11016" width="6.5546875" style="440" hidden="1"/>
    <col min="11017" max="11018" width="6.77734375" style="440" hidden="1"/>
    <col min="11019" max="11019" width="6.21875" style="440" hidden="1"/>
    <col min="11020" max="11020" width="5.44140625" style="440" hidden="1"/>
    <col min="11021" max="11021" width="3.44140625" style="440" hidden="1"/>
    <col min="11022" max="11022" width="3.21875" style="440" hidden="1"/>
    <col min="11023" max="11023" width="3.77734375" style="440" hidden="1"/>
    <col min="11024" max="11024" width="8.77734375" style="440" hidden="1"/>
    <col min="11025" max="11025" width="31.77734375" style="440" hidden="1"/>
    <col min="11026" max="11026" width="23.44140625" style="440" hidden="1"/>
    <col min="11027" max="11027" width="8.44140625" style="440" hidden="1"/>
    <col min="11028" max="11028" width="11" style="440" hidden="1"/>
    <col min="11029" max="11030" width="31.77734375" style="440" hidden="1"/>
    <col min="11031" max="11031" width="46.44140625" style="440" hidden="1"/>
    <col min="11032" max="11033" width="8.77734375" style="440" hidden="1"/>
    <col min="11034" max="11034" width="15.77734375" style="440" hidden="1"/>
    <col min="11035" max="11035" width="17.44140625" style="440" hidden="1"/>
    <col min="11036" max="11263" width="8.77734375" style="440" hidden="1"/>
    <col min="11264" max="11264" width="5" style="440" hidden="1"/>
    <col min="11265" max="11265" width="35.77734375" style="440" hidden="1"/>
    <col min="11266" max="11266" width="2.77734375" style="440" hidden="1"/>
    <col min="11267" max="11267" width="34.77734375" style="440" hidden="1"/>
    <col min="11268" max="11269" width="2.77734375" style="440" hidden="1"/>
    <col min="11270" max="11272" width="6.5546875" style="440" hidden="1"/>
    <col min="11273" max="11274" width="6.77734375" style="440" hidden="1"/>
    <col min="11275" max="11275" width="6.21875" style="440" hidden="1"/>
    <col min="11276" max="11276" width="5.44140625" style="440" hidden="1"/>
    <col min="11277" max="11277" width="3.44140625" style="440" hidden="1"/>
    <col min="11278" max="11278" width="3.21875" style="440" hidden="1"/>
    <col min="11279" max="11279" width="3.77734375" style="440" hidden="1"/>
    <col min="11280" max="11280" width="8.77734375" style="440" hidden="1"/>
    <col min="11281" max="11281" width="31.77734375" style="440" hidden="1"/>
    <col min="11282" max="11282" width="23.44140625" style="440" hidden="1"/>
    <col min="11283" max="11283" width="8.44140625" style="440" hidden="1"/>
    <col min="11284" max="11284" width="11" style="440" hidden="1"/>
    <col min="11285" max="11286" width="31.77734375" style="440" hidden="1"/>
    <col min="11287" max="11287" width="46.44140625" style="440" hidden="1"/>
    <col min="11288" max="11289" width="8.77734375" style="440" hidden="1"/>
    <col min="11290" max="11290" width="15.77734375" style="440" hidden="1"/>
    <col min="11291" max="11291" width="17.44140625" style="440" hidden="1"/>
    <col min="11292" max="11519" width="8.77734375" style="440" hidden="1"/>
    <col min="11520" max="11520" width="5" style="440" hidden="1"/>
    <col min="11521" max="11521" width="35.77734375" style="440" hidden="1"/>
    <col min="11522" max="11522" width="2.77734375" style="440" hidden="1"/>
    <col min="11523" max="11523" width="34.77734375" style="440" hidden="1"/>
    <col min="11524" max="11525" width="2.77734375" style="440" hidden="1"/>
    <col min="11526" max="11528" width="6.5546875" style="440" hidden="1"/>
    <col min="11529" max="11530" width="6.77734375" style="440" hidden="1"/>
    <col min="11531" max="11531" width="6.21875" style="440" hidden="1"/>
    <col min="11532" max="11532" width="5.44140625" style="440" hidden="1"/>
    <col min="11533" max="11533" width="3.44140625" style="440" hidden="1"/>
    <col min="11534" max="11534" width="3.21875" style="440" hidden="1"/>
    <col min="11535" max="11535" width="3.77734375" style="440" hidden="1"/>
    <col min="11536" max="11536" width="8.77734375" style="440" hidden="1"/>
    <col min="11537" max="11537" width="31.77734375" style="440" hidden="1"/>
    <col min="11538" max="11538" width="23.44140625" style="440" hidden="1"/>
    <col min="11539" max="11539" width="8.44140625" style="440" hidden="1"/>
    <col min="11540" max="11540" width="11" style="440" hidden="1"/>
    <col min="11541" max="11542" width="31.77734375" style="440" hidden="1"/>
    <col min="11543" max="11543" width="46.44140625" style="440" hidden="1"/>
    <col min="11544" max="11545" width="8.77734375" style="440" hidden="1"/>
    <col min="11546" max="11546" width="15.77734375" style="440" hidden="1"/>
    <col min="11547" max="11547" width="17.44140625" style="440" hidden="1"/>
    <col min="11548" max="11775" width="8.77734375" style="440" hidden="1"/>
    <col min="11776" max="11776" width="5" style="440" hidden="1"/>
    <col min="11777" max="11777" width="35.77734375" style="440" hidden="1"/>
    <col min="11778" max="11778" width="2.77734375" style="440" hidden="1"/>
    <col min="11779" max="11779" width="34.77734375" style="440" hidden="1"/>
    <col min="11780" max="11781" width="2.77734375" style="440" hidden="1"/>
    <col min="11782" max="11784" width="6.5546875" style="440" hidden="1"/>
    <col min="11785" max="11786" width="6.77734375" style="440" hidden="1"/>
    <col min="11787" max="11787" width="6.21875" style="440" hidden="1"/>
    <col min="11788" max="11788" width="5.44140625" style="440" hidden="1"/>
    <col min="11789" max="11789" width="3.44140625" style="440" hidden="1"/>
    <col min="11790" max="11790" width="3.21875" style="440" hidden="1"/>
    <col min="11791" max="11791" width="3.77734375" style="440" hidden="1"/>
    <col min="11792" max="11792" width="8.77734375" style="440" hidden="1"/>
    <col min="11793" max="11793" width="31.77734375" style="440" hidden="1"/>
    <col min="11794" max="11794" width="23.44140625" style="440" hidden="1"/>
    <col min="11795" max="11795" width="8.44140625" style="440" hidden="1"/>
    <col min="11796" max="11796" width="11" style="440" hidden="1"/>
    <col min="11797" max="11798" width="31.77734375" style="440" hidden="1"/>
    <col min="11799" max="11799" width="46.44140625" style="440" hidden="1"/>
    <col min="11800" max="11801" width="8.77734375" style="440" hidden="1"/>
    <col min="11802" max="11802" width="15.77734375" style="440" hidden="1"/>
    <col min="11803" max="11803" width="17.44140625" style="440" hidden="1"/>
    <col min="11804" max="12031" width="8.77734375" style="440" hidden="1"/>
    <col min="12032" max="12032" width="5" style="440" hidden="1"/>
    <col min="12033" max="12033" width="35.77734375" style="440" hidden="1"/>
    <col min="12034" max="12034" width="2.77734375" style="440" hidden="1"/>
    <col min="12035" max="12035" width="34.77734375" style="440" hidden="1"/>
    <col min="12036" max="12037" width="2.77734375" style="440" hidden="1"/>
    <col min="12038" max="12040" width="6.5546875" style="440" hidden="1"/>
    <col min="12041" max="12042" width="6.77734375" style="440" hidden="1"/>
    <col min="12043" max="12043" width="6.21875" style="440" hidden="1"/>
    <col min="12044" max="12044" width="5.44140625" style="440" hidden="1"/>
    <col min="12045" max="12045" width="3.44140625" style="440" hidden="1"/>
    <col min="12046" max="12046" width="3.21875" style="440" hidden="1"/>
    <col min="12047" max="12047" width="3.77734375" style="440" hidden="1"/>
    <col min="12048" max="12048" width="8.77734375" style="440" hidden="1"/>
    <col min="12049" max="12049" width="31.77734375" style="440" hidden="1"/>
    <col min="12050" max="12050" width="23.44140625" style="440" hidden="1"/>
    <col min="12051" max="12051" width="8.44140625" style="440" hidden="1"/>
    <col min="12052" max="12052" width="11" style="440" hidden="1"/>
    <col min="12053" max="12054" width="31.77734375" style="440" hidden="1"/>
    <col min="12055" max="12055" width="46.44140625" style="440" hidden="1"/>
    <col min="12056" max="12057" width="8.77734375" style="440" hidden="1"/>
    <col min="12058" max="12058" width="15.77734375" style="440" hidden="1"/>
    <col min="12059" max="12059" width="17.44140625" style="440" hidden="1"/>
    <col min="12060" max="12287" width="8.77734375" style="440" hidden="1"/>
    <col min="12288" max="12288" width="5" style="440" hidden="1"/>
    <col min="12289" max="12289" width="35.77734375" style="440" hidden="1"/>
    <col min="12290" max="12290" width="2.77734375" style="440" hidden="1"/>
    <col min="12291" max="12291" width="34.77734375" style="440" hidden="1"/>
    <col min="12292" max="12293" width="2.77734375" style="440" hidden="1"/>
    <col min="12294" max="12296" width="6.5546875" style="440" hidden="1"/>
    <col min="12297" max="12298" width="6.77734375" style="440" hidden="1"/>
    <col min="12299" max="12299" width="6.21875" style="440" hidden="1"/>
    <col min="12300" max="12300" width="5.44140625" style="440" hidden="1"/>
    <col min="12301" max="12301" width="3.44140625" style="440" hidden="1"/>
    <col min="12302" max="12302" width="3.21875" style="440" hidden="1"/>
    <col min="12303" max="12303" width="3.77734375" style="440" hidden="1"/>
    <col min="12304" max="12304" width="8.77734375" style="440" hidden="1"/>
    <col min="12305" max="12305" width="31.77734375" style="440" hidden="1"/>
    <col min="12306" max="12306" width="23.44140625" style="440" hidden="1"/>
    <col min="12307" max="12307" width="8.44140625" style="440" hidden="1"/>
    <col min="12308" max="12308" width="11" style="440" hidden="1"/>
    <col min="12309" max="12310" width="31.77734375" style="440" hidden="1"/>
    <col min="12311" max="12311" width="46.44140625" style="440" hidden="1"/>
    <col min="12312" max="12313" width="8.77734375" style="440" hidden="1"/>
    <col min="12314" max="12314" width="15.77734375" style="440" hidden="1"/>
    <col min="12315" max="12315" width="17.44140625" style="440" hidden="1"/>
    <col min="12316" max="12543" width="8.77734375" style="440" hidden="1"/>
    <col min="12544" max="12544" width="5" style="440" hidden="1"/>
    <col min="12545" max="12545" width="35.77734375" style="440" hidden="1"/>
    <col min="12546" max="12546" width="2.77734375" style="440" hidden="1"/>
    <col min="12547" max="12547" width="34.77734375" style="440" hidden="1"/>
    <col min="12548" max="12549" width="2.77734375" style="440" hidden="1"/>
    <col min="12550" max="12552" width="6.5546875" style="440" hidden="1"/>
    <col min="12553" max="12554" width="6.77734375" style="440" hidden="1"/>
    <col min="12555" max="12555" width="6.21875" style="440" hidden="1"/>
    <col min="12556" max="12556" width="5.44140625" style="440" hidden="1"/>
    <col min="12557" max="12557" width="3.44140625" style="440" hidden="1"/>
    <col min="12558" max="12558" width="3.21875" style="440" hidden="1"/>
    <col min="12559" max="12559" width="3.77734375" style="440" hidden="1"/>
    <col min="12560" max="12560" width="8.77734375" style="440" hidden="1"/>
    <col min="12561" max="12561" width="31.77734375" style="440" hidden="1"/>
    <col min="12562" max="12562" width="23.44140625" style="440" hidden="1"/>
    <col min="12563" max="12563" width="8.44140625" style="440" hidden="1"/>
    <col min="12564" max="12564" width="11" style="440" hidden="1"/>
    <col min="12565" max="12566" width="31.77734375" style="440" hidden="1"/>
    <col min="12567" max="12567" width="46.44140625" style="440" hidden="1"/>
    <col min="12568" max="12569" width="8.77734375" style="440" hidden="1"/>
    <col min="12570" max="12570" width="15.77734375" style="440" hidden="1"/>
    <col min="12571" max="12571" width="17.44140625" style="440" hidden="1"/>
    <col min="12572" max="12799" width="8.77734375" style="440" hidden="1"/>
    <col min="12800" max="12800" width="5" style="440" hidden="1"/>
    <col min="12801" max="12801" width="35.77734375" style="440" hidden="1"/>
    <col min="12802" max="12802" width="2.77734375" style="440" hidden="1"/>
    <col min="12803" max="12803" width="34.77734375" style="440" hidden="1"/>
    <col min="12804" max="12805" width="2.77734375" style="440" hidden="1"/>
    <col min="12806" max="12808" width="6.5546875" style="440" hidden="1"/>
    <col min="12809" max="12810" width="6.77734375" style="440" hidden="1"/>
    <col min="12811" max="12811" width="6.21875" style="440" hidden="1"/>
    <col min="12812" max="12812" width="5.44140625" style="440" hidden="1"/>
    <col min="12813" max="12813" width="3.44140625" style="440" hidden="1"/>
    <col min="12814" max="12814" width="3.21875" style="440" hidden="1"/>
    <col min="12815" max="12815" width="3.77734375" style="440" hidden="1"/>
    <col min="12816" max="12816" width="8.77734375" style="440" hidden="1"/>
    <col min="12817" max="12817" width="31.77734375" style="440" hidden="1"/>
    <col min="12818" max="12818" width="23.44140625" style="440" hidden="1"/>
    <col min="12819" max="12819" width="8.44140625" style="440" hidden="1"/>
    <col min="12820" max="12820" width="11" style="440" hidden="1"/>
    <col min="12821" max="12822" width="31.77734375" style="440" hidden="1"/>
    <col min="12823" max="12823" width="46.44140625" style="440" hidden="1"/>
    <col min="12824" max="12825" width="8.77734375" style="440" hidden="1"/>
    <col min="12826" max="12826" width="15.77734375" style="440" hidden="1"/>
    <col min="12827" max="12827" width="17.44140625" style="440" hidden="1"/>
    <col min="12828" max="13055" width="8.77734375" style="440" hidden="1"/>
    <col min="13056" max="13056" width="5" style="440" hidden="1"/>
    <col min="13057" max="13057" width="35.77734375" style="440" hidden="1"/>
    <col min="13058" max="13058" width="2.77734375" style="440" hidden="1"/>
    <col min="13059" max="13059" width="34.77734375" style="440" hidden="1"/>
    <col min="13060" max="13061" width="2.77734375" style="440" hidden="1"/>
    <col min="13062" max="13064" width="6.5546875" style="440" hidden="1"/>
    <col min="13065" max="13066" width="6.77734375" style="440" hidden="1"/>
    <col min="13067" max="13067" width="6.21875" style="440" hidden="1"/>
    <col min="13068" max="13068" width="5.44140625" style="440" hidden="1"/>
    <col min="13069" max="13069" width="3.44140625" style="440" hidden="1"/>
    <col min="13070" max="13070" width="3.21875" style="440" hidden="1"/>
    <col min="13071" max="13071" width="3.77734375" style="440" hidden="1"/>
    <col min="13072" max="13072" width="8.77734375" style="440" hidden="1"/>
    <col min="13073" max="13073" width="31.77734375" style="440" hidden="1"/>
    <col min="13074" max="13074" width="23.44140625" style="440" hidden="1"/>
    <col min="13075" max="13075" width="8.44140625" style="440" hidden="1"/>
    <col min="13076" max="13076" width="11" style="440" hidden="1"/>
    <col min="13077" max="13078" width="31.77734375" style="440" hidden="1"/>
    <col min="13079" max="13079" width="46.44140625" style="440" hidden="1"/>
    <col min="13080" max="13081" width="8.77734375" style="440" hidden="1"/>
    <col min="13082" max="13082" width="15.77734375" style="440" hidden="1"/>
    <col min="13083" max="13083" width="17.44140625" style="440" hidden="1"/>
    <col min="13084" max="13311" width="8.77734375" style="440" hidden="1"/>
    <col min="13312" max="13312" width="5" style="440" hidden="1"/>
    <col min="13313" max="13313" width="35.77734375" style="440" hidden="1"/>
    <col min="13314" max="13314" width="2.77734375" style="440" hidden="1"/>
    <col min="13315" max="13315" width="34.77734375" style="440" hidden="1"/>
    <col min="13316" max="13317" width="2.77734375" style="440" hidden="1"/>
    <col min="13318" max="13320" width="6.5546875" style="440" hidden="1"/>
    <col min="13321" max="13322" width="6.77734375" style="440" hidden="1"/>
    <col min="13323" max="13323" width="6.21875" style="440" hidden="1"/>
    <col min="13324" max="13324" width="5.44140625" style="440" hidden="1"/>
    <col min="13325" max="13325" width="3.44140625" style="440" hidden="1"/>
    <col min="13326" max="13326" width="3.21875" style="440" hidden="1"/>
    <col min="13327" max="13327" width="3.77734375" style="440" hidden="1"/>
    <col min="13328" max="13328" width="8.77734375" style="440" hidden="1"/>
    <col min="13329" max="13329" width="31.77734375" style="440" hidden="1"/>
    <col min="13330" max="13330" width="23.44140625" style="440" hidden="1"/>
    <col min="13331" max="13331" width="8.44140625" style="440" hidden="1"/>
    <col min="13332" max="13332" width="11" style="440" hidden="1"/>
    <col min="13333" max="13334" width="31.77734375" style="440" hidden="1"/>
    <col min="13335" max="13335" width="46.44140625" style="440" hidden="1"/>
    <col min="13336" max="13337" width="8.77734375" style="440" hidden="1"/>
    <col min="13338" max="13338" width="15.77734375" style="440" hidden="1"/>
    <col min="13339" max="13339" width="17.44140625" style="440" hidden="1"/>
    <col min="13340" max="13567" width="8.77734375" style="440" hidden="1"/>
    <col min="13568" max="13568" width="5" style="440" hidden="1"/>
    <col min="13569" max="13569" width="35.77734375" style="440" hidden="1"/>
    <col min="13570" max="13570" width="2.77734375" style="440" hidden="1"/>
    <col min="13571" max="13571" width="34.77734375" style="440" hidden="1"/>
    <col min="13572" max="13573" width="2.77734375" style="440" hidden="1"/>
    <col min="13574" max="13576" width="6.5546875" style="440" hidden="1"/>
    <col min="13577" max="13578" width="6.77734375" style="440" hidden="1"/>
    <col min="13579" max="13579" width="6.21875" style="440" hidden="1"/>
    <col min="13580" max="13580" width="5.44140625" style="440" hidden="1"/>
    <col min="13581" max="13581" width="3.44140625" style="440" hidden="1"/>
    <col min="13582" max="13582" width="3.21875" style="440" hidden="1"/>
    <col min="13583" max="13583" width="3.77734375" style="440" hidden="1"/>
    <col min="13584" max="13584" width="8.77734375" style="440" hidden="1"/>
    <col min="13585" max="13585" width="31.77734375" style="440" hidden="1"/>
    <col min="13586" max="13586" width="23.44140625" style="440" hidden="1"/>
    <col min="13587" max="13587" width="8.44140625" style="440" hidden="1"/>
    <col min="13588" max="13588" width="11" style="440" hidden="1"/>
    <col min="13589" max="13590" width="31.77734375" style="440" hidden="1"/>
    <col min="13591" max="13591" width="46.44140625" style="440" hidden="1"/>
    <col min="13592" max="13593" width="8.77734375" style="440" hidden="1"/>
    <col min="13594" max="13594" width="15.77734375" style="440" hidden="1"/>
    <col min="13595" max="13595" width="17.44140625" style="440" hidden="1"/>
    <col min="13596" max="13823" width="8.77734375" style="440" hidden="1"/>
    <col min="13824" max="13824" width="5" style="440" hidden="1"/>
    <col min="13825" max="13825" width="35.77734375" style="440" hidden="1"/>
    <col min="13826" max="13826" width="2.77734375" style="440" hidden="1"/>
    <col min="13827" max="13827" width="34.77734375" style="440" hidden="1"/>
    <col min="13828" max="13829" width="2.77734375" style="440" hidden="1"/>
    <col min="13830" max="13832" width="6.5546875" style="440" hidden="1"/>
    <col min="13833" max="13834" width="6.77734375" style="440" hidden="1"/>
    <col min="13835" max="13835" width="6.21875" style="440" hidden="1"/>
    <col min="13836" max="13836" width="5.44140625" style="440" hidden="1"/>
    <col min="13837" max="13837" width="3.44140625" style="440" hidden="1"/>
    <col min="13838" max="13838" width="3.21875" style="440" hidden="1"/>
    <col min="13839" max="13839" width="3.77734375" style="440" hidden="1"/>
    <col min="13840" max="13840" width="8.77734375" style="440" hidden="1"/>
    <col min="13841" max="13841" width="31.77734375" style="440" hidden="1"/>
    <col min="13842" max="13842" width="23.44140625" style="440" hidden="1"/>
    <col min="13843" max="13843" width="8.44140625" style="440" hidden="1"/>
    <col min="13844" max="13844" width="11" style="440" hidden="1"/>
    <col min="13845" max="13846" width="31.77734375" style="440" hidden="1"/>
    <col min="13847" max="13847" width="46.44140625" style="440" hidden="1"/>
    <col min="13848" max="13849" width="8.77734375" style="440" hidden="1"/>
    <col min="13850" max="13850" width="15.77734375" style="440" hidden="1"/>
    <col min="13851" max="13851" width="17.44140625" style="440" hidden="1"/>
    <col min="13852" max="14079" width="8.77734375" style="440" hidden="1"/>
    <col min="14080" max="14080" width="5" style="440" hidden="1"/>
    <col min="14081" max="14081" width="35.77734375" style="440" hidden="1"/>
    <col min="14082" max="14082" width="2.77734375" style="440" hidden="1"/>
    <col min="14083" max="14083" width="34.77734375" style="440" hidden="1"/>
    <col min="14084" max="14085" width="2.77734375" style="440" hidden="1"/>
    <col min="14086" max="14088" width="6.5546875" style="440" hidden="1"/>
    <col min="14089" max="14090" width="6.77734375" style="440" hidden="1"/>
    <col min="14091" max="14091" width="6.21875" style="440" hidden="1"/>
    <col min="14092" max="14092" width="5.44140625" style="440" hidden="1"/>
    <col min="14093" max="14093" width="3.44140625" style="440" hidden="1"/>
    <col min="14094" max="14094" width="3.21875" style="440" hidden="1"/>
    <col min="14095" max="14095" width="3.77734375" style="440" hidden="1"/>
    <col min="14096" max="14096" width="8.77734375" style="440" hidden="1"/>
    <col min="14097" max="14097" width="31.77734375" style="440" hidden="1"/>
    <col min="14098" max="14098" width="23.44140625" style="440" hidden="1"/>
    <col min="14099" max="14099" width="8.44140625" style="440" hidden="1"/>
    <col min="14100" max="14100" width="11" style="440" hidden="1"/>
    <col min="14101" max="14102" width="31.77734375" style="440" hidden="1"/>
    <col min="14103" max="14103" width="46.44140625" style="440" hidden="1"/>
    <col min="14104" max="14105" width="8.77734375" style="440" hidden="1"/>
    <col min="14106" max="14106" width="15.77734375" style="440" hidden="1"/>
    <col min="14107" max="14107" width="17.44140625" style="440" hidden="1"/>
    <col min="14108" max="14335" width="8.77734375" style="440" hidden="1"/>
    <col min="14336" max="14336" width="5" style="440" hidden="1"/>
    <col min="14337" max="14337" width="35.77734375" style="440" hidden="1"/>
    <col min="14338" max="14338" width="2.77734375" style="440" hidden="1"/>
    <col min="14339" max="14339" width="34.77734375" style="440" hidden="1"/>
    <col min="14340" max="14341" width="2.77734375" style="440" hidden="1"/>
    <col min="14342" max="14344" width="6.5546875" style="440" hidden="1"/>
    <col min="14345" max="14346" width="6.77734375" style="440" hidden="1"/>
    <col min="14347" max="14347" width="6.21875" style="440" hidden="1"/>
    <col min="14348" max="14348" width="5.44140625" style="440" hidden="1"/>
    <col min="14349" max="14349" width="3.44140625" style="440" hidden="1"/>
    <col min="14350" max="14350" width="3.21875" style="440" hidden="1"/>
    <col min="14351" max="14351" width="3.77734375" style="440" hidden="1"/>
    <col min="14352" max="14352" width="8.77734375" style="440" hidden="1"/>
    <col min="14353" max="14353" width="31.77734375" style="440" hidden="1"/>
    <col min="14354" max="14354" width="23.44140625" style="440" hidden="1"/>
    <col min="14355" max="14355" width="8.44140625" style="440" hidden="1"/>
    <col min="14356" max="14356" width="11" style="440" hidden="1"/>
    <col min="14357" max="14358" width="31.77734375" style="440" hidden="1"/>
    <col min="14359" max="14359" width="46.44140625" style="440" hidden="1"/>
    <col min="14360" max="14361" width="8.77734375" style="440" hidden="1"/>
    <col min="14362" max="14362" width="15.77734375" style="440" hidden="1"/>
    <col min="14363" max="14363" width="17.44140625" style="440" hidden="1"/>
    <col min="14364" max="14591" width="8.77734375" style="440" hidden="1"/>
    <col min="14592" max="14592" width="5" style="440" hidden="1"/>
    <col min="14593" max="14593" width="35.77734375" style="440" hidden="1"/>
    <col min="14594" max="14594" width="2.77734375" style="440" hidden="1"/>
    <col min="14595" max="14595" width="34.77734375" style="440" hidden="1"/>
    <col min="14596" max="14597" width="2.77734375" style="440" hidden="1"/>
    <col min="14598" max="14600" width="6.5546875" style="440" hidden="1"/>
    <col min="14601" max="14602" width="6.77734375" style="440" hidden="1"/>
    <col min="14603" max="14603" width="6.21875" style="440" hidden="1"/>
    <col min="14604" max="14604" width="5.44140625" style="440" hidden="1"/>
    <col min="14605" max="14605" width="3.44140625" style="440" hidden="1"/>
    <col min="14606" max="14606" width="3.21875" style="440" hidden="1"/>
    <col min="14607" max="14607" width="3.77734375" style="440" hidden="1"/>
    <col min="14608" max="14608" width="8.77734375" style="440" hidden="1"/>
    <col min="14609" max="14609" width="31.77734375" style="440" hidden="1"/>
    <col min="14610" max="14610" width="23.44140625" style="440" hidden="1"/>
    <col min="14611" max="14611" width="8.44140625" style="440" hidden="1"/>
    <col min="14612" max="14612" width="11" style="440" hidden="1"/>
    <col min="14613" max="14614" width="31.77734375" style="440" hidden="1"/>
    <col min="14615" max="14615" width="46.44140625" style="440" hidden="1"/>
    <col min="14616" max="14617" width="8.77734375" style="440" hidden="1"/>
    <col min="14618" max="14618" width="15.77734375" style="440" hidden="1"/>
    <col min="14619" max="14619" width="17.44140625" style="440" hidden="1"/>
    <col min="14620" max="14847" width="8.77734375" style="440" hidden="1"/>
    <col min="14848" max="14848" width="5" style="440" hidden="1"/>
    <col min="14849" max="14849" width="35.77734375" style="440" hidden="1"/>
    <col min="14850" max="14850" width="2.77734375" style="440" hidden="1"/>
    <col min="14851" max="14851" width="34.77734375" style="440" hidden="1"/>
    <col min="14852" max="14853" width="2.77734375" style="440" hidden="1"/>
    <col min="14854" max="14856" width="6.5546875" style="440" hidden="1"/>
    <col min="14857" max="14858" width="6.77734375" style="440" hidden="1"/>
    <col min="14859" max="14859" width="6.21875" style="440" hidden="1"/>
    <col min="14860" max="14860" width="5.44140625" style="440" hidden="1"/>
    <col min="14861" max="14861" width="3.44140625" style="440" hidden="1"/>
    <col min="14862" max="14862" width="3.21875" style="440" hidden="1"/>
    <col min="14863" max="14863" width="3.77734375" style="440" hidden="1"/>
    <col min="14864" max="14864" width="8.77734375" style="440" hidden="1"/>
    <col min="14865" max="14865" width="31.77734375" style="440" hidden="1"/>
    <col min="14866" max="14866" width="23.44140625" style="440" hidden="1"/>
    <col min="14867" max="14867" width="8.44140625" style="440" hidden="1"/>
    <col min="14868" max="14868" width="11" style="440" hidden="1"/>
    <col min="14869" max="14870" width="31.77734375" style="440" hidden="1"/>
    <col min="14871" max="14871" width="46.44140625" style="440" hidden="1"/>
    <col min="14872" max="14873" width="8.77734375" style="440" hidden="1"/>
    <col min="14874" max="14874" width="15.77734375" style="440" hidden="1"/>
    <col min="14875" max="14875" width="17.44140625" style="440" hidden="1"/>
    <col min="14876" max="15103" width="8.77734375" style="440" hidden="1"/>
    <col min="15104" max="15104" width="5" style="440" hidden="1"/>
    <col min="15105" max="15105" width="35.77734375" style="440" hidden="1"/>
    <col min="15106" max="15106" width="2.77734375" style="440" hidden="1"/>
    <col min="15107" max="15107" width="34.77734375" style="440" hidden="1"/>
    <col min="15108" max="15109" width="2.77734375" style="440" hidden="1"/>
    <col min="15110" max="15112" width="6.5546875" style="440" hidden="1"/>
    <col min="15113" max="15114" width="6.77734375" style="440" hidden="1"/>
    <col min="15115" max="15115" width="6.21875" style="440" hidden="1"/>
    <col min="15116" max="15116" width="5.44140625" style="440" hidden="1"/>
    <col min="15117" max="15117" width="3.44140625" style="440" hidden="1"/>
    <col min="15118" max="15118" width="3.21875" style="440" hidden="1"/>
    <col min="15119" max="15119" width="3.77734375" style="440" hidden="1"/>
    <col min="15120" max="15120" width="8.77734375" style="440" hidden="1"/>
    <col min="15121" max="15121" width="31.77734375" style="440" hidden="1"/>
    <col min="15122" max="15122" width="23.44140625" style="440" hidden="1"/>
    <col min="15123" max="15123" width="8.44140625" style="440" hidden="1"/>
    <col min="15124" max="15124" width="11" style="440" hidden="1"/>
    <col min="15125" max="15126" width="31.77734375" style="440" hidden="1"/>
    <col min="15127" max="15127" width="46.44140625" style="440" hidden="1"/>
    <col min="15128" max="15129" width="8.77734375" style="440" hidden="1"/>
    <col min="15130" max="15130" width="15.77734375" style="440" hidden="1"/>
    <col min="15131" max="15131" width="17.44140625" style="440" hidden="1"/>
    <col min="15132" max="15359" width="8.77734375" style="440" hidden="1"/>
    <col min="15360" max="15360" width="5" style="440" hidden="1"/>
    <col min="15361" max="15361" width="35.77734375" style="440" hidden="1"/>
    <col min="15362" max="15362" width="2.77734375" style="440" hidden="1"/>
    <col min="15363" max="15363" width="34.77734375" style="440" hidden="1"/>
    <col min="15364" max="15365" width="2.77734375" style="440" hidden="1"/>
    <col min="15366" max="15368" width="6.5546875" style="440" hidden="1"/>
    <col min="15369" max="15370" width="6.77734375" style="440" hidden="1"/>
    <col min="15371" max="15371" width="6.21875" style="440" hidden="1"/>
    <col min="15372" max="15372" width="5.44140625" style="440" hidden="1"/>
    <col min="15373" max="15373" width="3.44140625" style="440" hidden="1"/>
    <col min="15374" max="15374" width="3.21875" style="440" hidden="1"/>
    <col min="15375" max="15375" width="3.77734375" style="440" hidden="1"/>
    <col min="15376" max="15376" width="8.77734375" style="440" hidden="1"/>
    <col min="15377" max="15377" width="31.77734375" style="440" hidden="1"/>
    <col min="15378" max="15378" width="23.44140625" style="440" hidden="1"/>
    <col min="15379" max="15379" width="8.44140625" style="440" hidden="1"/>
    <col min="15380" max="15380" width="11" style="440" hidden="1"/>
    <col min="15381" max="15382" width="31.77734375" style="440" hidden="1"/>
    <col min="15383" max="15383" width="46.44140625" style="440" hidden="1"/>
    <col min="15384" max="15385" width="8.77734375" style="440" hidden="1"/>
    <col min="15386" max="15386" width="15.77734375" style="440" hidden="1"/>
    <col min="15387" max="15387" width="17.44140625" style="440" hidden="1"/>
    <col min="15388" max="15615" width="8.77734375" style="440" hidden="1"/>
    <col min="15616" max="15616" width="5" style="440" hidden="1"/>
    <col min="15617" max="15617" width="35.77734375" style="440" hidden="1"/>
    <col min="15618" max="15618" width="2.77734375" style="440" hidden="1"/>
    <col min="15619" max="15619" width="34.77734375" style="440" hidden="1"/>
    <col min="15620" max="15621" width="2.77734375" style="440" hidden="1"/>
    <col min="15622" max="15624" width="6.5546875" style="440" hidden="1"/>
    <col min="15625" max="15626" width="6.77734375" style="440" hidden="1"/>
    <col min="15627" max="15627" width="6.21875" style="440" hidden="1"/>
    <col min="15628" max="15628" width="5.44140625" style="440" hidden="1"/>
    <col min="15629" max="15629" width="3.44140625" style="440" hidden="1"/>
    <col min="15630" max="15630" width="3.21875" style="440" hidden="1"/>
    <col min="15631" max="15631" width="3.77734375" style="440" hidden="1"/>
    <col min="15632" max="15632" width="8.77734375" style="440" hidden="1"/>
    <col min="15633" max="15633" width="31.77734375" style="440" hidden="1"/>
    <col min="15634" max="15634" width="23.44140625" style="440" hidden="1"/>
    <col min="15635" max="15635" width="8.44140625" style="440" hidden="1"/>
    <col min="15636" max="15636" width="11" style="440" hidden="1"/>
    <col min="15637" max="15638" width="31.77734375" style="440" hidden="1"/>
    <col min="15639" max="15639" width="46.44140625" style="440" hidden="1"/>
    <col min="15640" max="15641" width="8.77734375" style="440" hidden="1"/>
    <col min="15642" max="15642" width="15.77734375" style="440" hidden="1"/>
    <col min="15643" max="15643" width="17.44140625" style="440" hidden="1"/>
    <col min="15644" max="15871" width="8.77734375" style="440" hidden="1"/>
    <col min="15872" max="15872" width="5" style="440" hidden="1"/>
    <col min="15873" max="15873" width="35.77734375" style="440" hidden="1"/>
    <col min="15874" max="15874" width="2.77734375" style="440" hidden="1"/>
    <col min="15875" max="15875" width="34.77734375" style="440" hidden="1"/>
    <col min="15876" max="15877" width="2.77734375" style="440" hidden="1"/>
    <col min="15878" max="15880" width="6.5546875" style="440" hidden="1"/>
    <col min="15881" max="15882" width="6.77734375" style="440" hidden="1"/>
    <col min="15883" max="15883" width="6.21875" style="440" hidden="1"/>
    <col min="15884" max="15884" width="5.44140625" style="440" hidden="1"/>
    <col min="15885" max="15885" width="3.44140625" style="440" hidden="1"/>
    <col min="15886" max="15886" width="3.21875" style="440" hidden="1"/>
    <col min="15887" max="15887" width="3.77734375" style="440" hidden="1"/>
    <col min="15888" max="15888" width="8.77734375" style="440" hidden="1"/>
    <col min="15889" max="15889" width="31.77734375" style="440" hidden="1"/>
    <col min="15890" max="15890" width="23.44140625" style="440" hidden="1"/>
    <col min="15891" max="15891" width="8.44140625" style="440" hidden="1"/>
    <col min="15892" max="15892" width="11" style="440" hidden="1"/>
    <col min="15893" max="15894" width="31.77734375" style="440" hidden="1"/>
    <col min="15895" max="15895" width="46.44140625" style="440" hidden="1"/>
    <col min="15896" max="15897" width="8.77734375" style="440" hidden="1"/>
    <col min="15898" max="15898" width="15.77734375" style="440" hidden="1"/>
    <col min="15899" max="15899" width="17.44140625" style="440" hidden="1"/>
    <col min="15900" max="16127" width="8.77734375" style="440" hidden="1"/>
    <col min="16128" max="16128" width="5" style="440" hidden="1"/>
    <col min="16129" max="16129" width="35.77734375" style="440" hidden="1"/>
    <col min="16130" max="16130" width="2.77734375" style="440" hidden="1"/>
    <col min="16131" max="16131" width="34.77734375" style="440" hidden="1"/>
    <col min="16132" max="16133" width="2.77734375" style="440" hidden="1"/>
    <col min="16134" max="16136" width="6.5546875" style="440" hidden="1"/>
    <col min="16137" max="16138" width="6.77734375" style="440" hidden="1"/>
    <col min="16139" max="16139" width="6.21875" style="440" hidden="1"/>
    <col min="16140" max="16140" width="5.44140625" style="440" hidden="1"/>
    <col min="16141" max="16141" width="3.44140625" style="440" hidden="1"/>
    <col min="16142" max="16142" width="3.21875" style="440" hidden="1"/>
    <col min="16143" max="16143" width="3.77734375" style="440" hidden="1"/>
    <col min="16144" max="16144" width="8.77734375" style="440" hidden="1"/>
    <col min="16145" max="16145" width="31.77734375" style="440" hidden="1"/>
    <col min="16146" max="16146" width="23.44140625" style="440" hidden="1"/>
    <col min="16147" max="16147" width="8.44140625" style="440" hidden="1"/>
    <col min="16148" max="16148" width="11" style="440" hidden="1"/>
    <col min="16149" max="16150" width="31.77734375" style="440" hidden="1"/>
    <col min="16151" max="16151" width="46.44140625" style="440" hidden="1"/>
    <col min="16152" max="16153" width="8.77734375" style="440" hidden="1"/>
    <col min="16154" max="16154" width="15.77734375" style="440" hidden="1"/>
    <col min="16155" max="16155" width="17.44140625" style="440" hidden="1"/>
    <col min="16156" max="16384" width="8.77734375" style="440" hidden="1"/>
  </cols>
  <sheetData>
    <row r="1" spans="1:28" s="94" customFormat="1">
      <c r="A1" s="427"/>
      <c r="B1" s="440"/>
      <c r="C1" s="427"/>
      <c r="D1" s="427"/>
      <c r="E1" s="427"/>
      <c r="F1" s="427"/>
      <c r="G1" s="427"/>
      <c r="H1" s="427"/>
      <c r="I1" s="427"/>
      <c r="J1" s="427"/>
      <c r="K1" s="477"/>
      <c r="L1" s="478"/>
      <c r="M1" s="478"/>
      <c r="N1" s="478"/>
      <c r="O1" s="427"/>
      <c r="P1" s="427"/>
    </row>
    <row r="2" spans="1:28" s="84" customFormat="1" ht="30">
      <c r="A2" s="479" t="str">
        <f>Text!A214</f>
        <v>Coûts des machines, temps de travail et de traction</v>
      </c>
      <c r="C2" s="427"/>
      <c r="D2" s="418"/>
      <c r="E2" s="418"/>
      <c r="F2" s="418"/>
      <c r="G2" s="418"/>
      <c r="H2" s="418"/>
      <c r="I2" s="418"/>
      <c r="J2" s="418"/>
      <c r="K2" s="420"/>
      <c r="L2" s="421"/>
      <c r="M2" s="421"/>
      <c r="N2" s="421"/>
      <c r="O2" s="418"/>
      <c r="P2" s="418"/>
    </row>
    <row r="3" spans="1:28" s="84" customFormat="1" ht="10.5" customHeight="1">
      <c r="A3" s="476"/>
      <c r="B3" s="417"/>
      <c r="C3" s="419"/>
      <c r="D3" s="418"/>
      <c r="E3" s="418"/>
      <c r="F3" s="418"/>
      <c r="G3" s="418"/>
      <c r="H3" s="418"/>
      <c r="I3" s="418"/>
      <c r="J3" s="418"/>
      <c r="K3" s="420"/>
      <c r="L3" s="421"/>
      <c r="M3" s="421"/>
      <c r="N3" s="421"/>
      <c r="O3" s="418"/>
      <c r="P3" s="418"/>
    </row>
    <row r="4" spans="1:28" s="85" customFormat="1" ht="16.350000000000001" customHeight="1">
      <c r="A4" s="461">
        <v>0</v>
      </c>
      <c r="B4" s="462"/>
      <c r="C4" s="463"/>
      <c r="D4" s="464" t="str">
        <f>Text!A228</f>
        <v>Propre ou location</v>
      </c>
      <c r="E4" s="464"/>
      <c r="F4" s="464"/>
      <c r="G4" s="464"/>
      <c r="H4" s="465"/>
      <c r="I4" s="466"/>
      <c r="J4" s="466"/>
      <c r="K4" s="467" t="str">
        <f>Text!A229</f>
        <v>Entreprise</v>
      </c>
      <c r="L4" s="468"/>
      <c r="M4" s="468"/>
      <c r="N4" s="469"/>
      <c r="O4" s="463" t="str">
        <f>Text!A230</f>
        <v>Art*</v>
      </c>
      <c r="P4" s="422" t="str">
        <f>Text!A231</f>
        <v>Source</v>
      </c>
      <c r="Q4" s="85" t="s">
        <v>15</v>
      </c>
      <c r="V4" s="85" t="s">
        <v>16</v>
      </c>
    </row>
    <row r="5" spans="1:28" s="87" customFormat="1" ht="40.5" customHeight="1">
      <c r="A5" s="470" t="str">
        <f>Text!A215</f>
        <v>N°</v>
      </c>
      <c r="B5" s="471"/>
      <c r="C5" s="472" t="str">
        <f>Text!A217</f>
        <v>U</v>
      </c>
      <c r="D5" s="472" t="str">
        <f>Text!A218</f>
        <v>T</v>
      </c>
      <c r="E5" s="472" t="str">
        <f>Text!A219</f>
        <v>Frais var. tract. Fr./U</v>
      </c>
      <c r="F5" s="472" t="str">
        <f>Text!A220</f>
        <v>Frais var. mach. Fr./U</v>
      </c>
      <c r="G5" s="472" t="str">
        <f>Text!A221</f>
        <v>Loc. mach. Fr./U</v>
      </c>
      <c r="H5" s="473"/>
      <c r="I5" s="474" t="str">
        <f>Text!A222</f>
        <v>Besoin MOh/U</v>
      </c>
      <c r="J5" s="474" t="str">
        <f>Text!A223</f>
        <v>Besoin Th/U</v>
      </c>
      <c r="K5" s="475" t="str">
        <f>Text!A224</f>
        <v>Fr./U</v>
      </c>
      <c r="L5" s="474" t="str">
        <f>Text!A225</f>
        <v>Frais var. tract. Fr./U</v>
      </c>
      <c r="M5" s="474" t="str">
        <f>Text!A226</f>
        <v>MOh/U</v>
      </c>
      <c r="N5" s="474" t="str">
        <f>Text!A227</f>
        <v>Th/U</v>
      </c>
      <c r="O5" s="472" t="s">
        <v>17</v>
      </c>
      <c r="P5" s="423"/>
      <c r="Q5" s="86"/>
      <c r="R5" s="87" t="s">
        <v>18</v>
      </c>
      <c r="U5" s="87" t="s">
        <v>19</v>
      </c>
    </row>
    <row r="6" spans="1:28" s="91" customFormat="1" ht="18" customHeight="1">
      <c r="A6" s="428">
        <v>0</v>
      </c>
      <c r="B6" s="429" t="str">
        <f>Text!A115</f>
        <v>Travail du sol</v>
      </c>
      <c r="C6" s="428"/>
      <c r="D6" s="428"/>
      <c r="E6" s="428"/>
      <c r="F6" s="88"/>
      <c r="G6" s="88"/>
      <c r="H6" s="89"/>
      <c r="I6" s="89"/>
      <c r="J6" s="89"/>
      <c r="K6" s="449"/>
      <c r="L6" s="450"/>
      <c r="M6" s="450"/>
      <c r="N6" s="450"/>
      <c r="O6" s="428"/>
      <c r="P6" s="424"/>
      <c r="Q6" s="90" t="s">
        <v>20</v>
      </c>
      <c r="W6" s="91" t="s">
        <v>21</v>
      </c>
    </row>
    <row r="7" spans="1:28" s="94" customFormat="1">
      <c r="A7" s="430">
        <v>4001</v>
      </c>
      <c r="B7" s="431" t="str">
        <f>Text!A116</f>
        <v>Sous-soleuse, profondeur de travail   70 cm</v>
      </c>
      <c r="C7" s="432" t="s">
        <v>22</v>
      </c>
      <c r="D7" s="432">
        <v>11</v>
      </c>
      <c r="E7" s="432">
        <f t="shared" ref="E7:E30" si="0">VLOOKUP(D7,Traktor,2,0)*J7</f>
        <v>63.056586467889915</v>
      </c>
      <c r="F7" s="115">
        <v>5.95</v>
      </c>
      <c r="G7" s="115">
        <v>33</v>
      </c>
      <c r="H7" s="120">
        <v>23.8</v>
      </c>
      <c r="I7" s="120">
        <v>1</v>
      </c>
      <c r="J7" s="120">
        <v>0.9</v>
      </c>
      <c r="K7" s="451">
        <f t="shared" ref="K7:K30" si="1">ROUND(G7+VLOOKUP(D7,D$82:G$105,4,FALSE)*(J7-N7)+(I7-IF(M7&gt;0,M7-0.2,0))*hAnsatzLohnarbeit,-1)</f>
        <v>200</v>
      </c>
      <c r="L7" s="447">
        <f>VLOOKUP(D7,Traktor,2)*N7</f>
        <v>0</v>
      </c>
      <c r="M7" s="447">
        <v>0.2</v>
      </c>
      <c r="N7" s="447"/>
      <c r="O7" s="432">
        <v>1</v>
      </c>
      <c r="P7" s="425" t="s">
        <v>23</v>
      </c>
      <c r="Q7" s="93">
        <v>4022</v>
      </c>
      <c r="R7" s="92"/>
      <c r="V7" s="94" t="s">
        <v>24</v>
      </c>
      <c r="W7" s="93" t="s">
        <v>25</v>
      </c>
    </row>
    <row r="8" spans="1:28" s="94" customFormat="1">
      <c r="A8" s="430">
        <v>4002</v>
      </c>
      <c r="B8" s="431" t="str">
        <f>Text!A117</f>
        <v>Décompacteur, 3 m</v>
      </c>
      <c r="C8" s="432" t="s">
        <v>22</v>
      </c>
      <c r="D8" s="432">
        <v>11</v>
      </c>
      <c r="E8" s="432">
        <f t="shared" si="0"/>
        <v>63.056586467889915</v>
      </c>
      <c r="F8" s="115">
        <v>20.222222222222221</v>
      </c>
      <c r="G8" s="115">
        <v>75</v>
      </c>
      <c r="H8" s="120">
        <v>47.96</v>
      </c>
      <c r="I8" s="120">
        <v>1</v>
      </c>
      <c r="J8" s="120">
        <v>0.9</v>
      </c>
      <c r="K8" s="451">
        <f t="shared" si="1"/>
        <v>240</v>
      </c>
      <c r="L8" s="447"/>
      <c r="M8" s="447">
        <v>0.2</v>
      </c>
      <c r="N8" s="447"/>
      <c r="O8" s="432">
        <v>1</v>
      </c>
      <c r="P8" s="425" t="s">
        <v>23</v>
      </c>
      <c r="Q8" s="93"/>
      <c r="R8" s="92"/>
      <c r="W8" s="93"/>
    </row>
    <row r="9" spans="1:28" s="94" customFormat="1">
      <c r="A9" s="430">
        <v>4004</v>
      </c>
      <c r="B9" s="431" t="str">
        <f>Text!A118</f>
        <v>Chisel avec rouleau émotteur, 2.5 m</v>
      </c>
      <c r="C9" s="432" t="s">
        <v>22</v>
      </c>
      <c r="D9" s="432">
        <v>4</v>
      </c>
      <c r="E9" s="432">
        <f t="shared" si="0"/>
        <v>22.679999999999996</v>
      </c>
      <c r="F9" s="115">
        <v>8.59375</v>
      </c>
      <c r="G9" s="115">
        <v>38</v>
      </c>
      <c r="H9" s="120">
        <v>25.7</v>
      </c>
      <c r="I9" s="120">
        <v>1.2</v>
      </c>
      <c r="J9" s="120">
        <v>1.2</v>
      </c>
      <c r="K9" s="451">
        <f t="shared" si="1"/>
        <v>150</v>
      </c>
      <c r="L9" s="447"/>
      <c r="M9" s="447">
        <v>0.2</v>
      </c>
      <c r="N9" s="447"/>
      <c r="O9" s="432">
        <v>1</v>
      </c>
      <c r="P9" s="425" t="s">
        <v>23</v>
      </c>
      <c r="Q9" s="93">
        <v>4005</v>
      </c>
      <c r="R9" s="92"/>
      <c r="V9" s="94" t="s">
        <v>24</v>
      </c>
      <c r="W9" s="93" t="s">
        <v>26</v>
      </c>
    </row>
    <row r="10" spans="1:28" s="94" customFormat="1">
      <c r="A10" s="433">
        <v>4005</v>
      </c>
      <c r="B10" s="434" t="str">
        <f>Text!A119</f>
        <v>Chisel avec rouleau émotteur, 3 m</v>
      </c>
      <c r="C10" s="432" t="s">
        <v>22</v>
      </c>
      <c r="D10" s="432">
        <v>5</v>
      </c>
      <c r="E10" s="432">
        <f t="shared" si="0"/>
        <v>23.650000000000002</v>
      </c>
      <c r="F10" s="115">
        <v>8.204545454545455</v>
      </c>
      <c r="G10" s="115">
        <v>46</v>
      </c>
      <c r="H10" s="120">
        <v>33.68</v>
      </c>
      <c r="I10" s="120">
        <v>1.1000000000000001</v>
      </c>
      <c r="J10" s="120">
        <v>1.1000000000000001</v>
      </c>
      <c r="K10" s="451">
        <f t="shared" si="1"/>
        <v>150</v>
      </c>
      <c r="L10" s="447">
        <f>VLOOKUP(D10,Traktor,2)*N10</f>
        <v>0</v>
      </c>
      <c r="M10" s="447">
        <v>0.2</v>
      </c>
      <c r="N10" s="447"/>
      <c r="O10" s="432">
        <v>1</v>
      </c>
      <c r="P10" s="425" t="s">
        <v>23</v>
      </c>
      <c r="Q10" s="93">
        <v>4038</v>
      </c>
      <c r="R10" s="92"/>
      <c r="V10" s="94" t="s">
        <v>24</v>
      </c>
      <c r="W10" s="94" t="s">
        <v>27</v>
      </c>
    </row>
    <row r="11" spans="1:28" s="94" customFormat="1">
      <c r="A11" s="433">
        <v>4006</v>
      </c>
      <c r="B11" s="434" t="str">
        <f>Text!A120</f>
        <v>Bêcheuse, 2 m</v>
      </c>
      <c r="C11" s="432" t="s">
        <v>22</v>
      </c>
      <c r="D11" s="432">
        <v>4</v>
      </c>
      <c r="E11" s="432">
        <f t="shared" si="0"/>
        <v>0</v>
      </c>
      <c r="F11" s="115">
        <v>31.625000000000004</v>
      </c>
      <c r="G11" s="115">
        <v>170</v>
      </c>
      <c r="H11" s="120">
        <v>122</v>
      </c>
      <c r="I11" s="120"/>
      <c r="J11" s="120"/>
      <c r="K11" s="451">
        <f t="shared" si="1"/>
        <v>170</v>
      </c>
      <c r="L11" s="447"/>
      <c r="M11" s="447">
        <v>0.2</v>
      </c>
      <c r="N11" s="447"/>
      <c r="O11" s="432">
        <v>1</v>
      </c>
      <c r="P11" s="425" t="s">
        <v>23</v>
      </c>
      <c r="Q11" s="93"/>
      <c r="R11" s="92"/>
    </row>
    <row r="12" spans="1:28" s="94" customFormat="1">
      <c r="A12" s="433">
        <v>4007</v>
      </c>
      <c r="B12" s="434" t="str">
        <f>Text!A121</f>
        <v>Bêcheuse, 3 m</v>
      </c>
      <c r="C12" s="432" t="s">
        <v>22</v>
      </c>
      <c r="D12" s="432">
        <v>5</v>
      </c>
      <c r="E12" s="432">
        <f t="shared" si="0"/>
        <v>0</v>
      </c>
      <c r="F12" s="115">
        <v>36.75</v>
      </c>
      <c r="G12" s="115">
        <v>185</v>
      </c>
      <c r="H12" s="120">
        <v>132.16</v>
      </c>
      <c r="I12" s="120"/>
      <c r="J12" s="120"/>
      <c r="K12" s="451">
        <f t="shared" si="1"/>
        <v>190</v>
      </c>
      <c r="L12" s="447"/>
      <c r="M12" s="447">
        <v>0.2</v>
      </c>
      <c r="N12" s="447"/>
      <c r="O12" s="432">
        <v>1</v>
      </c>
      <c r="P12" s="425" t="s">
        <v>23</v>
      </c>
      <c r="Q12" s="93"/>
      <c r="R12" s="92"/>
    </row>
    <row r="13" spans="1:28" s="94" customFormat="1">
      <c r="A13" s="433">
        <v>4021</v>
      </c>
      <c r="B13" s="434" t="str">
        <f>Text!A122</f>
        <v>Charrue bisoc</v>
      </c>
      <c r="C13" s="432" t="s">
        <v>22</v>
      </c>
      <c r="D13" s="432">
        <v>3</v>
      </c>
      <c r="E13" s="432">
        <f t="shared" si="0"/>
        <v>59.606999999999999</v>
      </c>
      <c r="F13" s="115">
        <v>22.05</v>
      </c>
      <c r="G13" s="115">
        <v>76</v>
      </c>
      <c r="H13" s="120">
        <v>46.725000000000001</v>
      </c>
      <c r="I13" s="120">
        <v>3.7</v>
      </c>
      <c r="J13" s="120">
        <v>3.7</v>
      </c>
      <c r="K13" s="451">
        <f t="shared" si="1"/>
        <v>400</v>
      </c>
      <c r="L13" s="447"/>
      <c r="M13" s="447">
        <v>0.2</v>
      </c>
      <c r="N13" s="447"/>
      <c r="O13" s="432">
        <v>1</v>
      </c>
      <c r="P13" s="425" t="s">
        <v>23</v>
      </c>
      <c r="Q13" s="93"/>
      <c r="R13" s="92"/>
    </row>
    <row r="14" spans="1:28" s="94" customFormat="1" ht="21.75" customHeight="1">
      <c r="A14" s="435">
        <v>4022</v>
      </c>
      <c r="B14" s="436" t="str">
        <f>Text!A123</f>
        <v>Charrue trisoc</v>
      </c>
      <c r="C14" s="432" t="s">
        <v>22</v>
      </c>
      <c r="D14" s="437">
        <v>5</v>
      </c>
      <c r="E14" s="432">
        <f t="shared" si="0"/>
        <v>62.35</v>
      </c>
      <c r="F14" s="119">
        <v>34.125</v>
      </c>
      <c r="G14" s="119">
        <v>105</v>
      </c>
      <c r="H14" s="121">
        <v>60.43333333333333</v>
      </c>
      <c r="I14" s="121">
        <v>2.9</v>
      </c>
      <c r="J14" s="121">
        <v>2.9</v>
      </c>
      <c r="K14" s="451">
        <f t="shared" si="1"/>
        <v>380</v>
      </c>
      <c r="L14" s="452">
        <f>VLOOKUP(D14,Traktor,2)*N14</f>
        <v>0</v>
      </c>
      <c r="M14" s="447">
        <v>0.2</v>
      </c>
      <c r="N14" s="452"/>
      <c r="O14" s="432">
        <v>1</v>
      </c>
      <c r="P14" s="425" t="s">
        <v>23</v>
      </c>
      <c r="Q14" s="98">
        <v>5062</v>
      </c>
      <c r="R14" s="97"/>
      <c r="U14" s="94" t="s">
        <v>28</v>
      </c>
      <c r="V14" s="94" t="s">
        <v>24</v>
      </c>
      <c r="W14" s="93" t="s">
        <v>29</v>
      </c>
      <c r="Z14" s="94" t="s">
        <v>30</v>
      </c>
      <c r="AA14" s="94" t="s">
        <v>31</v>
      </c>
      <c r="AB14" s="94" t="s">
        <v>32</v>
      </c>
    </row>
    <row r="15" spans="1:28" s="94" customFormat="1" ht="21.75" customHeight="1">
      <c r="A15" s="435">
        <v>4023</v>
      </c>
      <c r="B15" s="436" t="str">
        <f>Text!A124</f>
        <v>Charrue quadrisoc</v>
      </c>
      <c r="C15" s="432" t="s">
        <v>22</v>
      </c>
      <c r="D15" s="437">
        <v>7</v>
      </c>
      <c r="E15" s="432">
        <f t="shared" si="0"/>
        <v>67.430000000000007</v>
      </c>
      <c r="F15" s="119">
        <v>39.545454545454547</v>
      </c>
      <c r="G15" s="119">
        <v>110</v>
      </c>
      <c r="H15" s="121">
        <v>61.375</v>
      </c>
      <c r="I15" s="121">
        <v>2.2999999999999998</v>
      </c>
      <c r="J15" s="121">
        <v>2.2000000000000002</v>
      </c>
      <c r="K15" s="451">
        <f t="shared" si="1"/>
        <v>370</v>
      </c>
      <c r="L15" s="452"/>
      <c r="M15" s="447">
        <v>0.2</v>
      </c>
      <c r="N15" s="452"/>
      <c r="O15" s="432">
        <v>1</v>
      </c>
      <c r="P15" s="425" t="s">
        <v>23</v>
      </c>
      <c r="Q15" s="98"/>
      <c r="R15" s="97"/>
      <c r="W15" s="93"/>
    </row>
    <row r="16" spans="1:28" s="94" customFormat="1" ht="21.75" customHeight="1">
      <c r="A16" s="435">
        <v>4024</v>
      </c>
      <c r="B16" s="436" t="str">
        <f>Text!A125</f>
        <v>Charrue à 5 socs</v>
      </c>
      <c r="C16" s="432" t="s">
        <v>22</v>
      </c>
      <c r="D16" s="437">
        <v>8</v>
      </c>
      <c r="E16" s="432">
        <f t="shared" si="0"/>
        <v>69.125635275229357</v>
      </c>
      <c r="F16" s="119">
        <v>48.321428571428569</v>
      </c>
      <c r="G16" s="119">
        <v>130</v>
      </c>
      <c r="H16" s="121">
        <v>69.62</v>
      </c>
      <c r="I16" s="121">
        <v>1.9</v>
      </c>
      <c r="J16" s="121">
        <v>1.9</v>
      </c>
      <c r="K16" s="451">
        <f t="shared" si="1"/>
        <v>360</v>
      </c>
      <c r="L16" s="452"/>
      <c r="M16" s="447">
        <v>0.2</v>
      </c>
      <c r="N16" s="452"/>
      <c r="O16" s="432">
        <v>1</v>
      </c>
      <c r="P16" s="425" t="s">
        <v>23</v>
      </c>
      <c r="Q16" s="98"/>
      <c r="R16" s="97"/>
      <c r="W16" s="93"/>
    </row>
    <row r="17" spans="1:23" s="94" customFormat="1" ht="21.75" customHeight="1">
      <c r="A17" s="435">
        <v>4025</v>
      </c>
      <c r="B17" s="436" t="str">
        <f>Text!A126</f>
        <v>Charrue à 6 socs</v>
      </c>
      <c r="C17" s="432" t="s">
        <v>22</v>
      </c>
      <c r="D17" s="437">
        <v>9</v>
      </c>
      <c r="E17" s="432">
        <f t="shared" si="0"/>
        <v>74.157579201834864</v>
      </c>
      <c r="F17" s="119">
        <v>45.617647058823529</v>
      </c>
      <c r="G17" s="119">
        <v>125</v>
      </c>
      <c r="H17" s="121">
        <v>70.183333333333337</v>
      </c>
      <c r="I17" s="121">
        <v>1.7</v>
      </c>
      <c r="J17" s="121">
        <v>1.7</v>
      </c>
      <c r="K17" s="451">
        <f t="shared" si="1"/>
        <v>360</v>
      </c>
      <c r="L17" s="452"/>
      <c r="M17" s="447">
        <v>0.2</v>
      </c>
      <c r="N17" s="452"/>
      <c r="O17" s="432">
        <v>1</v>
      </c>
      <c r="P17" s="425" t="s">
        <v>23</v>
      </c>
      <c r="Q17" s="98"/>
      <c r="S17" s="97"/>
      <c r="W17" s="93"/>
    </row>
    <row r="18" spans="1:23" s="94" customFormat="1" ht="21.75" customHeight="1">
      <c r="A18" s="435">
        <v>4032</v>
      </c>
      <c r="B18" s="436" t="str">
        <f>Text!A127</f>
        <v>Herse à disques tractée, 3 m</v>
      </c>
      <c r="C18" s="432" t="s">
        <v>22</v>
      </c>
      <c r="D18" s="437">
        <v>7</v>
      </c>
      <c r="E18" s="432">
        <f t="shared" si="0"/>
        <v>30.65</v>
      </c>
      <c r="F18" s="119">
        <v>16.704545454545453</v>
      </c>
      <c r="G18" s="119">
        <v>95</v>
      </c>
      <c r="H18" s="121">
        <v>69.5</v>
      </c>
      <c r="I18" s="121">
        <v>1</v>
      </c>
      <c r="J18" s="121">
        <v>1</v>
      </c>
      <c r="K18" s="451">
        <f t="shared" si="1"/>
        <v>210</v>
      </c>
      <c r="L18" s="452"/>
      <c r="M18" s="447">
        <v>0.2</v>
      </c>
      <c r="N18" s="452"/>
      <c r="O18" s="432">
        <v>1</v>
      </c>
      <c r="P18" s="425" t="s">
        <v>23</v>
      </c>
      <c r="Q18" s="98"/>
      <c r="S18" s="97"/>
      <c r="W18" s="93"/>
    </row>
    <row r="19" spans="1:23" s="94" customFormat="1" ht="21.75" customHeight="1">
      <c r="A19" s="435">
        <v>4033</v>
      </c>
      <c r="B19" s="436" t="str">
        <f>Text!A128</f>
        <v>Herse à disques tractée, 4 m</v>
      </c>
      <c r="C19" s="432" t="s">
        <v>22</v>
      </c>
      <c r="D19" s="437">
        <v>9</v>
      </c>
      <c r="E19" s="432">
        <f t="shared" si="0"/>
        <v>34.897684330275233</v>
      </c>
      <c r="F19" s="119">
        <v>15.666666666666666</v>
      </c>
      <c r="G19" s="119">
        <v>97</v>
      </c>
      <c r="H19" s="121">
        <v>72.12222222222222</v>
      </c>
      <c r="I19" s="121">
        <v>0.9</v>
      </c>
      <c r="J19" s="121">
        <v>0.8</v>
      </c>
      <c r="K19" s="451">
        <f t="shared" si="1"/>
        <v>210</v>
      </c>
      <c r="L19" s="452"/>
      <c r="M19" s="447">
        <v>0.2</v>
      </c>
      <c r="N19" s="452"/>
      <c r="O19" s="432">
        <v>1</v>
      </c>
      <c r="P19" s="425" t="s">
        <v>23</v>
      </c>
      <c r="Q19" s="98"/>
      <c r="S19" s="97"/>
      <c r="W19" s="93"/>
    </row>
    <row r="20" spans="1:23" s="94" customFormat="1" ht="21.75" customHeight="1">
      <c r="A20" s="435">
        <v>4034</v>
      </c>
      <c r="B20" s="436" t="str">
        <f>Text!A129</f>
        <v>Déchaumeuse à disques avec rouleau, 3 m</v>
      </c>
      <c r="C20" s="432" t="s">
        <v>22</v>
      </c>
      <c r="D20" s="437">
        <v>7</v>
      </c>
      <c r="E20" s="432">
        <f t="shared" si="0"/>
        <v>32.488999999999997</v>
      </c>
      <c r="F20" s="119">
        <v>12.65</v>
      </c>
      <c r="G20" s="119">
        <v>66</v>
      </c>
      <c r="H20" s="121">
        <v>47.471428571428568</v>
      </c>
      <c r="I20" s="121">
        <v>1.0900000000000001</v>
      </c>
      <c r="J20" s="121">
        <v>1.06</v>
      </c>
      <c r="K20" s="451">
        <f t="shared" si="1"/>
        <v>190</v>
      </c>
      <c r="L20" s="452"/>
      <c r="M20" s="447">
        <v>0.2</v>
      </c>
      <c r="N20" s="452"/>
      <c r="O20" s="432">
        <v>1</v>
      </c>
      <c r="P20" s="425" t="s">
        <v>23</v>
      </c>
      <c r="Q20" s="98"/>
      <c r="S20" s="97"/>
      <c r="W20" s="93"/>
    </row>
    <row r="21" spans="1:23" s="94" customFormat="1" ht="21.75" customHeight="1">
      <c r="A21" s="435">
        <v>4035</v>
      </c>
      <c r="B21" s="436" t="str">
        <f>Text!A130</f>
        <v>Déchaumeuse à disques avec rouleau, 4 m</v>
      </c>
      <c r="C21" s="432" t="s">
        <v>22</v>
      </c>
      <c r="D21" s="437">
        <v>9</v>
      </c>
      <c r="E21" s="432">
        <f t="shared" si="0"/>
        <v>35.77012643853211</v>
      </c>
      <c r="F21" s="119">
        <v>16.125</v>
      </c>
      <c r="G21" s="119">
        <v>90</v>
      </c>
      <c r="H21" s="121">
        <v>65.63333333333334</v>
      </c>
      <c r="I21" s="121">
        <v>0.86</v>
      </c>
      <c r="J21" s="121">
        <v>0.82</v>
      </c>
      <c r="K21" s="451">
        <f t="shared" si="1"/>
        <v>200</v>
      </c>
      <c r="L21" s="452"/>
      <c r="M21" s="447">
        <v>0.2</v>
      </c>
      <c r="N21" s="452"/>
      <c r="O21" s="432">
        <v>1</v>
      </c>
      <c r="P21" s="425" t="s">
        <v>23</v>
      </c>
      <c r="Q21" s="98"/>
      <c r="S21" s="97"/>
      <c r="W21" s="93"/>
    </row>
    <row r="22" spans="1:23" s="94" customFormat="1" ht="21.75" customHeight="1">
      <c r="A22" s="435">
        <v>4055</v>
      </c>
      <c r="B22" s="436" t="str">
        <f>Text!A131</f>
        <v>Herse rotative avec rouleau packer, 2,5 m</v>
      </c>
      <c r="C22" s="432" t="s">
        <v>22</v>
      </c>
      <c r="D22" s="437">
        <v>4</v>
      </c>
      <c r="E22" s="432">
        <f t="shared" si="0"/>
        <v>26.459999999999997</v>
      </c>
      <c r="F22" s="119">
        <v>18.40625</v>
      </c>
      <c r="G22" s="119">
        <v>85</v>
      </c>
      <c r="H22" s="121">
        <v>58.73</v>
      </c>
      <c r="I22" s="121">
        <v>1.4</v>
      </c>
      <c r="J22" s="121">
        <v>1.4</v>
      </c>
      <c r="K22" s="451">
        <f t="shared" si="1"/>
        <v>220</v>
      </c>
      <c r="L22" s="452"/>
      <c r="M22" s="447">
        <v>0.2</v>
      </c>
      <c r="N22" s="452"/>
      <c r="O22" s="432">
        <v>1</v>
      </c>
      <c r="P22" s="425" t="s">
        <v>23</v>
      </c>
      <c r="Q22" s="98"/>
      <c r="S22" s="97"/>
      <c r="W22" s="93"/>
    </row>
    <row r="23" spans="1:23" s="94" customFormat="1" ht="21.75" customHeight="1">
      <c r="A23" s="435">
        <v>4056</v>
      </c>
      <c r="B23" s="436" t="str">
        <f>Text!A132</f>
        <v>Herse rotative avec rouleau packer, 3 m</v>
      </c>
      <c r="C23" s="437" t="s">
        <v>22</v>
      </c>
      <c r="D23" s="437">
        <v>5</v>
      </c>
      <c r="E23" s="432">
        <f t="shared" si="0"/>
        <v>25.8</v>
      </c>
      <c r="F23" s="119">
        <v>22.05</v>
      </c>
      <c r="G23" s="119">
        <v>97</v>
      </c>
      <c r="H23" s="121">
        <v>66.150000000000006</v>
      </c>
      <c r="I23" s="121">
        <v>1.3</v>
      </c>
      <c r="J23" s="121">
        <v>1.2</v>
      </c>
      <c r="K23" s="451">
        <f t="shared" si="1"/>
        <v>220</v>
      </c>
      <c r="L23" s="452"/>
      <c r="M23" s="447">
        <v>0.2</v>
      </c>
      <c r="N23" s="452"/>
      <c r="O23" s="432">
        <v>1</v>
      </c>
      <c r="P23" s="426" t="s">
        <v>23</v>
      </c>
      <c r="Q23" s="98"/>
      <c r="S23" s="97"/>
      <c r="W23" s="93"/>
    </row>
    <row r="24" spans="1:23" s="94" customFormat="1" ht="21.75" customHeight="1">
      <c r="A24" s="435">
        <v>4057</v>
      </c>
      <c r="B24" s="436" t="str">
        <f>Text!A133</f>
        <v>Herse rotative avec rouleau packer, 4 m</v>
      </c>
      <c r="C24" s="432" t="s">
        <v>22</v>
      </c>
      <c r="D24" s="437">
        <v>7</v>
      </c>
      <c r="E24" s="432">
        <f t="shared" si="0"/>
        <v>30.65</v>
      </c>
      <c r="F24" s="119">
        <v>24</v>
      </c>
      <c r="G24" s="119">
        <v>110</v>
      </c>
      <c r="H24" s="121">
        <v>75.95</v>
      </c>
      <c r="I24" s="121">
        <v>1</v>
      </c>
      <c r="J24" s="121">
        <v>1</v>
      </c>
      <c r="K24" s="451">
        <f t="shared" si="1"/>
        <v>220</v>
      </c>
      <c r="L24" s="452"/>
      <c r="M24" s="447">
        <v>0.2</v>
      </c>
      <c r="N24" s="452"/>
      <c r="O24" s="432">
        <v>1</v>
      </c>
      <c r="P24" s="425" t="s">
        <v>23</v>
      </c>
      <c r="Q24" s="98"/>
      <c r="S24" s="97"/>
      <c r="W24" s="93"/>
    </row>
    <row r="25" spans="1:23" s="94" customFormat="1" ht="21.75" customHeight="1">
      <c r="A25" s="435">
        <v>4058</v>
      </c>
      <c r="B25" s="436" t="str">
        <f>Text!A134</f>
        <v>Herse rotative à axe horizontal, (rouleau packer) 2,5 m</v>
      </c>
      <c r="C25" s="437" t="s">
        <v>22</v>
      </c>
      <c r="D25" s="437">
        <v>4</v>
      </c>
      <c r="E25" s="432">
        <f t="shared" si="0"/>
        <v>26.459999999999997</v>
      </c>
      <c r="F25" s="119">
        <v>22.958333333333332</v>
      </c>
      <c r="G25" s="119">
        <v>105</v>
      </c>
      <c r="H25" s="121">
        <v>73.22</v>
      </c>
      <c r="I25" s="121">
        <v>1.4</v>
      </c>
      <c r="J25" s="121">
        <v>1.4</v>
      </c>
      <c r="K25" s="451">
        <f t="shared" si="1"/>
        <v>240</v>
      </c>
      <c r="L25" s="452"/>
      <c r="M25" s="447">
        <v>0.2</v>
      </c>
      <c r="N25" s="452"/>
      <c r="O25" s="432">
        <v>1</v>
      </c>
      <c r="P25" s="426" t="s">
        <v>23</v>
      </c>
      <c r="Q25" s="98"/>
      <c r="S25" s="97"/>
      <c r="W25" s="93"/>
    </row>
    <row r="26" spans="1:23" s="94" customFormat="1" ht="21.75" customHeight="1">
      <c r="A26" s="435">
        <v>4059</v>
      </c>
      <c r="B26" s="436" t="str">
        <f>Text!A135</f>
        <v>Herse rotative à axe horizontal, (rouleau packer) 3 m</v>
      </c>
      <c r="C26" s="432" t="s">
        <v>22</v>
      </c>
      <c r="D26" s="437">
        <v>5</v>
      </c>
      <c r="E26" s="432">
        <f t="shared" si="0"/>
        <v>25.8</v>
      </c>
      <c r="F26" s="119">
        <v>20.892857142857142</v>
      </c>
      <c r="G26" s="119">
        <v>93</v>
      </c>
      <c r="H26" s="121">
        <v>63.875</v>
      </c>
      <c r="I26" s="121">
        <v>1.3</v>
      </c>
      <c r="J26" s="121">
        <v>1.2</v>
      </c>
      <c r="K26" s="451">
        <f t="shared" si="1"/>
        <v>210</v>
      </c>
      <c r="L26" s="452"/>
      <c r="M26" s="447">
        <v>0.2</v>
      </c>
      <c r="N26" s="452"/>
      <c r="O26" s="432">
        <v>1</v>
      </c>
      <c r="P26" s="425" t="s">
        <v>23</v>
      </c>
      <c r="Q26" s="98"/>
      <c r="S26" s="97"/>
      <c r="W26" s="93"/>
    </row>
    <row r="27" spans="1:23" s="94" customFormat="1" ht="21.75" customHeight="1">
      <c r="A27" s="435">
        <v>4074</v>
      </c>
      <c r="B27" s="436" t="str">
        <f>Text!A136</f>
        <v>Rouleau cannelé, 2,5 m, attelage 3 points</v>
      </c>
      <c r="C27" s="437" t="s">
        <v>22</v>
      </c>
      <c r="D27" s="437">
        <v>2</v>
      </c>
      <c r="E27" s="432">
        <f t="shared" si="0"/>
        <v>12.735000000000001</v>
      </c>
      <c r="F27" s="119">
        <v>3.24</v>
      </c>
      <c r="G27" s="119">
        <v>24</v>
      </c>
      <c r="H27" s="121">
        <v>18.75</v>
      </c>
      <c r="I27" s="121">
        <v>0.9</v>
      </c>
      <c r="J27" s="121">
        <v>0.9</v>
      </c>
      <c r="K27" s="451" t="e">
        <f t="shared" si="1"/>
        <v>#N/A</v>
      </c>
      <c r="L27" s="452"/>
      <c r="M27" s="447">
        <v>0.2</v>
      </c>
      <c r="N27" s="452"/>
      <c r="O27" s="432">
        <v>1</v>
      </c>
      <c r="P27" s="426" t="s">
        <v>23</v>
      </c>
      <c r="Q27" s="98"/>
      <c r="S27" s="97"/>
      <c r="W27" s="93"/>
    </row>
    <row r="28" spans="1:23" s="94" customFormat="1" ht="21.75" customHeight="1">
      <c r="A28" s="435">
        <v>4075</v>
      </c>
      <c r="B28" s="436" t="str">
        <f>Text!A137</f>
        <v>Rouleau cannelé, 3 m, attelage 3 points</v>
      </c>
      <c r="C28" s="432" t="s">
        <v>22</v>
      </c>
      <c r="D28" s="437">
        <v>3</v>
      </c>
      <c r="E28" s="432">
        <f t="shared" si="0"/>
        <v>12.888</v>
      </c>
      <c r="F28" s="119">
        <v>3.2722222222222221</v>
      </c>
      <c r="G28" s="119">
        <v>22</v>
      </c>
      <c r="H28" s="121">
        <v>16.88</v>
      </c>
      <c r="I28" s="121">
        <v>0.8</v>
      </c>
      <c r="J28" s="121">
        <v>0.8</v>
      </c>
      <c r="K28" s="451">
        <f t="shared" si="1"/>
        <v>90</v>
      </c>
      <c r="L28" s="452"/>
      <c r="M28" s="447">
        <v>0.2</v>
      </c>
      <c r="N28" s="452"/>
      <c r="O28" s="432">
        <v>1</v>
      </c>
      <c r="P28" s="425" t="s">
        <v>23</v>
      </c>
      <c r="Q28" s="98"/>
      <c r="S28" s="97"/>
      <c r="W28" s="93"/>
    </row>
    <row r="29" spans="1:23" s="94" customFormat="1" ht="21.75" customHeight="1">
      <c r="A29" s="435">
        <v>4076</v>
      </c>
      <c r="B29" s="436" t="str">
        <f>Text!A138</f>
        <v>Rouleau cannelé, 6 m, traînée</v>
      </c>
      <c r="C29" s="437" t="s">
        <v>22</v>
      </c>
      <c r="D29" s="437">
        <v>4</v>
      </c>
      <c r="E29" s="432">
        <f t="shared" si="0"/>
        <v>9.4499999999999993</v>
      </c>
      <c r="F29" s="119">
        <v>3.3333333333333335</v>
      </c>
      <c r="G29" s="119">
        <v>29</v>
      </c>
      <c r="H29" s="121">
        <v>22.58</v>
      </c>
      <c r="I29" s="121">
        <v>0.6</v>
      </c>
      <c r="J29" s="121">
        <v>0.5</v>
      </c>
      <c r="K29" s="451">
        <f t="shared" si="1"/>
        <v>80</v>
      </c>
      <c r="L29" s="452"/>
      <c r="M29" s="447">
        <v>0.2</v>
      </c>
      <c r="N29" s="452"/>
      <c r="O29" s="432">
        <v>1</v>
      </c>
      <c r="P29" s="426" t="s">
        <v>23</v>
      </c>
      <c r="Q29" s="98"/>
      <c r="S29" s="97"/>
      <c r="W29" s="93"/>
    </row>
    <row r="30" spans="1:23" s="94" customFormat="1" ht="21.75" customHeight="1">
      <c r="A30" s="435">
        <v>4077</v>
      </c>
      <c r="B30" s="436" t="str">
        <f>Text!A139</f>
        <v>Rouleau cannelé, 8 m, traînée</v>
      </c>
      <c r="C30" s="432" t="s">
        <v>22</v>
      </c>
      <c r="D30" s="437">
        <v>5</v>
      </c>
      <c r="E30" s="432">
        <f t="shared" si="0"/>
        <v>10.75</v>
      </c>
      <c r="F30" s="119">
        <v>3.645833333333333</v>
      </c>
      <c r="G30" s="119">
        <v>31</v>
      </c>
      <c r="H30" s="121">
        <v>24.938461538461539</v>
      </c>
      <c r="I30" s="121">
        <v>0.5</v>
      </c>
      <c r="J30" s="121">
        <v>0.5</v>
      </c>
      <c r="K30" s="451">
        <f t="shared" si="1"/>
        <v>80</v>
      </c>
      <c r="L30" s="452"/>
      <c r="M30" s="447">
        <v>0.2</v>
      </c>
      <c r="N30" s="452"/>
      <c r="O30" s="432">
        <v>1</v>
      </c>
      <c r="P30" s="425" t="s">
        <v>23</v>
      </c>
      <c r="Q30" s="98"/>
      <c r="R30" s="97"/>
      <c r="W30" s="93"/>
    </row>
    <row r="31" spans="1:23" s="94" customFormat="1" ht="21.75" customHeight="1">
      <c r="A31" s="435"/>
      <c r="B31" s="436"/>
      <c r="C31" s="432"/>
      <c r="D31" s="437"/>
      <c r="E31" s="432"/>
      <c r="F31" s="119"/>
      <c r="G31" s="119"/>
      <c r="H31" s="121"/>
      <c r="I31" s="121"/>
      <c r="J31" s="121"/>
      <c r="K31" s="451"/>
      <c r="L31" s="452"/>
      <c r="M31" s="447"/>
      <c r="N31" s="452"/>
      <c r="O31" s="432"/>
      <c r="P31" s="425"/>
      <c r="Q31" s="98"/>
      <c r="R31" s="97"/>
      <c r="W31" s="93"/>
    </row>
    <row r="32" spans="1:23" s="91" customFormat="1" ht="18" customHeight="1">
      <c r="A32" s="438">
        <v>0</v>
      </c>
      <c r="B32" s="439" t="str">
        <f>Text!A140</f>
        <v>Semis, plantation</v>
      </c>
      <c r="C32" s="438"/>
      <c r="D32" s="438"/>
      <c r="E32" s="438"/>
      <c r="F32" s="99"/>
      <c r="G32" s="99"/>
      <c r="H32" s="123"/>
      <c r="I32" s="100"/>
      <c r="J32" s="100"/>
      <c r="K32" s="451"/>
      <c r="L32" s="453"/>
      <c r="M32" s="453"/>
      <c r="N32" s="453"/>
      <c r="O32" s="454"/>
      <c r="P32" s="424"/>
    </row>
    <row r="33" spans="1:28" s="94" customFormat="1">
      <c r="A33" s="433">
        <v>5031</v>
      </c>
      <c r="B33" s="434" t="str">
        <f>Text!A141</f>
        <v>Semoir monograine à betteraves, 6 rangs</v>
      </c>
      <c r="C33" s="432" t="s">
        <v>22</v>
      </c>
      <c r="D33" s="432">
        <v>3</v>
      </c>
      <c r="E33" s="432">
        <f t="shared" ref="E33:E34" si="2">VLOOKUP(D33,Traktor,2)*J33</f>
        <v>24.164999999999999</v>
      </c>
      <c r="F33" s="114">
        <v>21</v>
      </c>
      <c r="G33" s="114">
        <v>89</v>
      </c>
      <c r="H33" s="122">
        <v>57.035000000000004</v>
      </c>
      <c r="I33" s="120">
        <v>1.6</v>
      </c>
      <c r="J33" s="120">
        <v>1.5</v>
      </c>
      <c r="K33" s="451">
        <f>ROUND(G33+VLOOKUP(D33,D$82:G$105,4,FALSE)*(J33-N33)+(I33-IF(M33&gt;0,M33-0.2,0))*hAnsatzLohnarbeit,-1)</f>
        <v>220</v>
      </c>
      <c r="L33" s="452"/>
      <c r="M33" s="447">
        <v>0.2</v>
      </c>
      <c r="N33" s="452"/>
      <c r="O33" s="432">
        <v>1</v>
      </c>
      <c r="P33" s="425" t="s">
        <v>23</v>
      </c>
      <c r="Q33" s="93">
        <v>5031</v>
      </c>
      <c r="R33" s="92"/>
      <c r="U33" s="94" t="s">
        <v>33</v>
      </c>
      <c r="V33" s="94" t="s">
        <v>24</v>
      </c>
      <c r="W33" s="101" t="s">
        <v>34</v>
      </c>
      <c r="Z33" s="94">
        <v>150</v>
      </c>
      <c r="AA33" s="94" t="s">
        <v>35</v>
      </c>
      <c r="AB33" s="94" t="s">
        <v>36</v>
      </c>
    </row>
    <row r="34" spans="1:28" s="94" customFormat="1">
      <c r="A34" s="433">
        <v>5032</v>
      </c>
      <c r="B34" s="434" t="str">
        <f>Text!A142</f>
        <v>Semoir monograine à betteraves, 12 rangs</v>
      </c>
      <c r="C34" s="432" t="s">
        <v>22</v>
      </c>
      <c r="D34" s="432">
        <v>4</v>
      </c>
      <c r="E34" s="432">
        <f t="shared" si="2"/>
        <v>20.79</v>
      </c>
      <c r="F34" s="114">
        <v>14.0625</v>
      </c>
      <c r="G34" s="114">
        <v>160</v>
      </c>
      <c r="H34" s="122">
        <v>57.712499999999999</v>
      </c>
      <c r="I34" s="120">
        <v>1.3</v>
      </c>
      <c r="J34" s="120">
        <v>1.1000000000000001</v>
      </c>
      <c r="K34" s="451">
        <f>ROUND(G34+VLOOKUP(D34,D$82:G$105,4,FALSE)*(J34-N34)+(I34-IF(M34&gt;0,M34-0.2,0))*hAnsatzLohnarbeit,-1)</f>
        <v>270</v>
      </c>
      <c r="L34" s="452"/>
      <c r="M34" s="447">
        <v>0.2</v>
      </c>
      <c r="N34" s="452"/>
      <c r="O34" s="432">
        <v>1</v>
      </c>
      <c r="P34" s="425"/>
      <c r="Q34" s="93">
        <v>5032</v>
      </c>
      <c r="R34" s="92"/>
      <c r="W34" s="101"/>
    </row>
    <row r="35" spans="1:28" s="94" customFormat="1">
      <c r="A35" s="433"/>
      <c r="B35" s="440"/>
      <c r="C35" s="432"/>
      <c r="D35" s="432"/>
      <c r="E35" s="432"/>
      <c r="F35" s="95"/>
      <c r="G35" s="95"/>
      <c r="H35" s="124"/>
      <c r="I35" s="96"/>
      <c r="J35" s="96"/>
      <c r="K35" s="451"/>
      <c r="L35" s="447"/>
      <c r="M35" s="447"/>
      <c r="N35" s="447"/>
      <c r="O35" s="432"/>
      <c r="P35" s="425"/>
      <c r="Q35" s="93"/>
      <c r="R35" s="92"/>
      <c r="W35" s="101"/>
    </row>
    <row r="36" spans="1:28" s="91" customFormat="1" ht="18" customHeight="1">
      <c r="A36" s="428">
        <v>0</v>
      </c>
      <c r="B36" s="429" t="str">
        <f>Text!A143</f>
        <v>Entretien</v>
      </c>
      <c r="C36" s="428"/>
      <c r="D36" s="428"/>
      <c r="E36" s="428"/>
      <c r="F36" s="88"/>
      <c r="G36" s="88"/>
      <c r="H36" s="89"/>
      <c r="I36" s="103"/>
      <c r="J36" s="103"/>
      <c r="K36" s="451"/>
      <c r="L36" s="455"/>
      <c r="M36" s="455"/>
      <c r="N36" s="455"/>
      <c r="O36" s="456"/>
      <c r="P36" s="424"/>
      <c r="W36" s="91" t="s">
        <v>37</v>
      </c>
    </row>
    <row r="37" spans="1:28" s="94" customFormat="1">
      <c r="A37" s="430">
        <v>5081</v>
      </c>
      <c r="B37" s="431" t="str">
        <f>Text!A144</f>
        <v>Herse étrille, 6 m</v>
      </c>
      <c r="C37" s="432" t="s">
        <v>22</v>
      </c>
      <c r="D37" s="432">
        <v>2</v>
      </c>
      <c r="E37" s="432">
        <f t="shared" ref="E37:E44" si="3">VLOOKUP(D37,Traktor,2)*J37</f>
        <v>7.0750000000000002</v>
      </c>
      <c r="F37" s="114">
        <v>4.32</v>
      </c>
      <c r="G37" s="114">
        <v>23</v>
      </c>
      <c r="H37" s="122">
        <v>16.48</v>
      </c>
      <c r="I37" s="120">
        <v>0.6</v>
      </c>
      <c r="J37" s="120">
        <v>0.5</v>
      </c>
      <c r="K37" s="451">
        <f t="shared" ref="K37:K44" si="4">ROUND(G37+VLOOKUP(D37,D$79:G$104,4,FALSE)*(J37-N37)+(I37-IF(M37&gt;0,M37-0.2,0))*hAnsatzLohnarbeit,-1)</f>
        <v>70</v>
      </c>
      <c r="L37" s="447"/>
      <c r="M37" s="447">
        <v>0.2</v>
      </c>
      <c r="N37" s="447"/>
      <c r="O37" s="432">
        <v>2</v>
      </c>
      <c r="P37" s="425" t="s">
        <v>23</v>
      </c>
      <c r="Q37" s="93">
        <v>5081</v>
      </c>
      <c r="R37" s="92"/>
    </row>
    <row r="38" spans="1:28" s="94" customFormat="1">
      <c r="A38" s="430">
        <v>5082</v>
      </c>
      <c r="B38" s="431" t="str">
        <f>Text!A145</f>
        <v>Herse étrille, hydraulique, 9 m</v>
      </c>
      <c r="C38" s="432" t="s">
        <v>22</v>
      </c>
      <c r="D38" s="432">
        <v>3</v>
      </c>
      <c r="E38" s="432">
        <f t="shared" si="3"/>
        <v>6.444</v>
      </c>
      <c r="F38" s="114">
        <v>4.5</v>
      </c>
      <c r="G38" s="114">
        <v>23</v>
      </c>
      <c r="H38" s="122">
        <v>16.233333333333334</v>
      </c>
      <c r="I38" s="120">
        <v>0.5</v>
      </c>
      <c r="J38" s="120">
        <v>0.4</v>
      </c>
      <c r="K38" s="451">
        <f t="shared" si="4"/>
        <v>60</v>
      </c>
      <c r="L38" s="447"/>
      <c r="M38" s="447">
        <v>0.2</v>
      </c>
      <c r="N38" s="447"/>
      <c r="O38" s="432">
        <v>2</v>
      </c>
      <c r="P38" s="425" t="s">
        <v>23</v>
      </c>
      <c r="Q38" s="93">
        <v>5082</v>
      </c>
      <c r="R38" s="92"/>
    </row>
    <row r="39" spans="1:28" s="94" customFormat="1">
      <c r="A39" s="430">
        <v>5083</v>
      </c>
      <c r="B39" s="431" t="str">
        <f>Text!A146</f>
        <v>Herse étrille, hydraulique, 12 m</v>
      </c>
      <c r="C39" s="432" t="s">
        <v>22</v>
      </c>
      <c r="D39" s="432">
        <v>5</v>
      </c>
      <c r="E39" s="432">
        <f t="shared" si="3"/>
        <v>8.6</v>
      </c>
      <c r="F39" s="114">
        <v>4.2750000000000004</v>
      </c>
      <c r="G39" s="114">
        <v>23</v>
      </c>
      <c r="H39" s="122">
        <v>16.694444444444443</v>
      </c>
      <c r="I39" s="120">
        <v>0.4</v>
      </c>
      <c r="J39" s="120">
        <v>0.4</v>
      </c>
      <c r="K39" s="451">
        <f t="shared" si="4"/>
        <v>60</v>
      </c>
      <c r="L39" s="447"/>
      <c r="M39" s="447">
        <v>0.2</v>
      </c>
      <c r="N39" s="447"/>
      <c r="O39" s="432">
        <v>2</v>
      </c>
      <c r="P39" s="425" t="s">
        <v>23</v>
      </c>
      <c r="Q39" s="93">
        <v>5083</v>
      </c>
      <c r="R39" s="92"/>
    </row>
    <row r="40" spans="1:28" s="94" customFormat="1">
      <c r="A40" s="433">
        <v>5091</v>
      </c>
      <c r="B40" s="434" t="str">
        <f>Text!A147</f>
        <v>Sarcleuse à dents vibro, 4 rangs</v>
      </c>
      <c r="C40" s="432" t="s">
        <v>22</v>
      </c>
      <c r="D40" s="432">
        <v>3</v>
      </c>
      <c r="E40" s="432">
        <f t="shared" si="3"/>
        <v>19.331999999999997</v>
      </c>
      <c r="F40" s="114">
        <v>15.525</v>
      </c>
      <c r="G40" s="114">
        <v>44</v>
      </c>
      <c r="H40" s="122">
        <v>24.61</v>
      </c>
      <c r="I40" s="120">
        <v>1.2</v>
      </c>
      <c r="J40" s="120">
        <v>1.2</v>
      </c>
      <c r="K40" s="451">
        <f t="shared" si="4"/>
        <v>150</v>
      </c>
      <c r="L40" s="447"/>
      <c r="M40" s="447">
        <v>0.2</v>
      </c>
      <c r="N40" s="447"/>
      <c r="O40" s="432">
        <v>2</v>
      </c>
      <c r="P40" s="425" t="s">
        <v>23</v>
      </c>
      <c r="Q40" s="93">
        <v>5091</v>
      </c>
    </row>
    <row r="41" spans="1:28" s="94" customFormat="1">
      <c r="A41" s="433">
        <v>5121</v>
      </c>
      <c r="B41" s="434" t="str">
        <f>Text!A148</f>
        <v>Sarcleuse à dents vibro, 6 rangs, repliable</v>
      </c>
      <c r="C41" s="432" t="s">
        <v>22</v>
      </c>
      <c r="D41" s="432">
        <v>3</v>
      </c>
      <c r="E41" s="432">
        <f t="shared" si="3"/>
        <v>11.276999999999999</v>
      </c>
      <c r="F41" s="114">
        <v>14.5</v>
      </c>
      <c r="G41" s="114">
        <v>39</v>
      </c>
      <c r="H41" s="122">
        <v>20.803333333333335</v>
      </c>
      <c r="I41" s="120">
        <v>0.8</v>
      </c>
      <c r="J41" s="120">
        <v>0.7</v>
      </c>
      <c r="K41" s="451">
        <f t="shared" si="4"/>
        <v>110</v>
      </c>
      <c r="L41" s="447"/>
      <c r="M41" s="447">
        <v>0.2</v>
      </c>
      <c r="N41" s="447"/>
      <c r="O41" s="432">
        <v>2</v>
      </c>
      <c r="P41" s="425" t="s">
        <v>23</v>
      </c>
      <c r="Q41" s="93">
        <v>5121</v>
      </c>
    </row>
    <row r="42" spans="1:28" s="94" customFormat="1">
      <c r="A42" s="433">
        <v>5124</v>
      </c>
      <c r="B42" s="434" t="str">
        <f>Text!A149</f>
        <v>Sarcleuse à dents vibro, 8 rangs, 
repliable hydrauliquement</v>
      </c>
      <c r="C42" s="432" t="s">
        <v>22</v>
      </c>
      <c r="D42" s="432">
        <v>4</v>
      </c>
      <c r="E42" s="432">
        <f t="shared" si="3"/>
        <v>11.339999999999998</v>
      </c>
      <c r="F42" s="114">
        <v>14.25</v>
      </c>
      <c r="G42" s="114">
        <v>38</v>
      </c>
      <c r="H42" s="122">
        <v>20.505000000000003</v>
      </c>
      <c r="I42" s="120">
        <v>0.6</v>
      </c>
      <c r="J42" s="120">
        <v>0.6</v>
      </c>
      <c r="K42" s="451">
        <f>ROUND(G42+VLOOKUP(D42,D$79:G$104,4,FALSE)*(J42-N42)+(I42-IF(M42&gt;0,M42-0.2,0))*hAnsatzLohnarbeit,-1)</f>
        <v>90</v>
      </c>
      <c r="L42" s="447"/>
      <c r="M42" s="447">
        <v>0.2</v>
      </c>
      <c r="N42" s="447"/>
      <c r="O42" s="432">
        <v>2</v>
      </c>
      <c r="P42" s="425" t="s">
        <v>23</v>
      </c>
      <c r="Q42" s="93">
        <v>5124</v>
      </c>
    </row>
    <row r="43" spans="1:28" s="94" customFormat="1">
      <c r="A43" s="433">
        <v>5125</v>
      </c>
      <c r="B43" s="434" t="str">
        <f>Text!A150</f>
        <v>Sarcleuse à dents vibro, 6 rangs, 
contrôle par caméra sur châssis réglable</v>
      </c>
      <c r="C43" s="432" t="s">
        <v>22</v>
      </c>
      <c r="D43" s="432">
        <v>4</v>
      </c>
      <c r="E43" s="432">
        <f t="shared" si="3"/>
        <v>13.229999999999999</v>
      </c>
      <c r="F43" s="114">
        <v>13.2</v>
      </c>
      <c r="G43" s="114">
        <v>61</v>
      </c>
      <c r="H43" s="122">
        <v>42.005000000000003</v>
      </c>
      <c r="I43" s="120">
        <v>0.8</v>
      </c>
      <c r="J43" s="120">
        <v>0.7</v>
      </c>
      <c r="K43" s="451">
        <f t="shared" si="4"/>
        <v>130</v>
      </c>
      <c r="L43" s="447"/>
      <c r="M43" s="447">
        <v>0.2</v>
      </c>
      <c r="N43" s="447"/>
      <c r="O43" s="432">
        <v>2</v>
      </c>
      <c r="P43" s="425" t="s">
        <v>23</v>
      </c>
      <c r="Q43" s="93">
        <v>5125</v>
      </c>
    </row>
    <row r="44" spans="1:28" s="94" customFormat="1">
      <c r="A44" s="433">
        <v>5126</v>
      </c>
      <c r="B44" s="434" t="str">
        <f>Text!A151</f>
        <v>Sarcleuse à dents vibro, 8 rangs, 
contrôle par caméra sur châssis réglable</v>
      </c>
      <c r="C44" s="432" t="s">
        <v>22</v>
      </c>
      <c r="D44" s="432">
        <v>4</v>
      </c>
      <c r="E44" s="432">
        <f t="shared" si="3"/>
        <v>11.339999999999998</v>
      </c>
      <c r="F44" s="114">
        <v>12</v>
      </c>
      <c r="G44" s="114">
        <v>54</v>
      </c>
      <c r="H44" s="122">
        <v>37.167999999999999</v>
      </c>
      <c r="I44" s="120">
        <v>0.6</v>
      </c>
      <c r="J44" s="120">
        <v>0.6</v>
      </c>
      <c r="K44" s="451">
        <f t="shared" si="4"/>
        <v>110</v>
      </c>
      <c r="L44" s="447"/>
      <c r="M44" s="447">
        <v>0.2</v>
      </c>
      <c r="N44" s="447"/>
      <c r="O44" s="432">
        <v>2</v>
      </c>
      <c r="P44" s="425" t="s">
        <v>23</v>
      </c>
      <c r="Q44" s="93">
        <v>5126</v>
      </c>
    </row>
    <row r="45" spans="1:28" s="91" customFormat="1" ht="18" customHeight="1">
      <c r="A45" s="438">
        <v>0</v>
      </c>
      <c r="B45" s="439" t="str">
        <f>Text!A152</f>
        <v>Fumure, irrigation</v>
      </c>
      <c r="C45" s="438"/>
      <c r="D45" s="438"/>
      <c r="E45" s="438"/>
      <c r="F45" s="99"/>
      <c r="G45" s="99"/>
      <c r="H45" s="123"/>
      <c r="I45" s="100"/>
      <c r="J45" s="100"/>
      <c r="K45" s="457"/>
      <c r="L45" s="453"/>
      <c r="M45" s="453"/>
      <c r="N45" s="453"/>
      <c r="O45" s="454"/>
      <c r="P45" s="424"/>
    </row>
    <row r="46" spans="1:28" s="94" customFormat="1">
      <c r="A46" s="430">
        <v>6003</v>
      </c>
      <c r="B46" s="431" t="str">
        <f>Text!A153</f>
        <v>Distributeur à engrais centrifuge, jusqu'à 500 l</v>
      </c>
      <c r="C46" s="432" t="s">
        <v>22</v>
      </c>
      <c r="D46" s="432">
        <v>3</v>
      </c>
      <c r="E46" s="432">
        <f t="shared" ref="E46:E62" si="5">VLOOKUP(D46,Traktor,2)*J46</f>
        <v>14.499000000000001</v>
      </c>
      <c r="F46" s="115">
        <v>2.95</v>
      </c>
      <c r="G46" s="115">
        <v>10.5</v>
      </c>
      <c r="H46" s="120">
        <v>6.40625</v>
      </c>
      <c r="I46" s="120">
        <v>1</v>
      </c>
      <c r="J46" s="120">
        <v>0.9</v>
      </c>
      <c r="K46" s="451">
        <f>ROUND(G46+VLOOKUP(D46,D$79:G$104,4,FALSE)*(J46-N46)+(I46-IF(M46&gt;0,M46-0.2,0))*hAnsatzLohnarbeit,-1)</f>
        <v>90</v>
      </c>
      <c r="L46" s="447"/>
      <c r="M46" s="447">
        <v>0.2</v>
      </c>
      <c r="N46" s="447"/>
      <c r="O46" s="432">
        <v>1</v>
      </c>
      <c r="P46" s="425" t="s">
        <v>23</v>
      </c>
      <c r="Q46" s="93">
        <v>6003</v>
      </c>
      <c r="R46" s="92"/>
    </row>
    <row r="47" spans="1:28" s="94" customFormat="1">
      <c r="A47" s="430">
        <v>6004</v>
      </c>
      <c r="B47" s="431" t="str">
        <f>Text!A154</f>
        <v>Distributeur à engrais centrifuge, 500 - 1000 l</v>
      </c>
      <c r="C47" s="432" t="s">
        <v>22</v>
      </c>
      <c r="D47" s="432">
        <v>3</v>
      </c>
      <c r="E47" s="432">
        <f t="shared" si="5"/>
        <v>14.499000000000001</v>
      </c>
      <c r="F47" s="115">
        <v>2.8437500000000004</v>
      </c>
      <c r="G47" s="115">
        <v>19.5</v>
      </c>
      <c r="H47" s="120">
        <v>6.0650000000000004</v>
      </c>
      <c r="I47" s="120">
        <v>1</v>
      </c>
      <c r="J47" s="120">
        <v>0.9</v>
      </c>
      <c r="K47" s="451">
        <f>ROUND(G47+VLOOKUP(D47,D$79:G$104,4,FALSE)*(J47-N47)+(I47-IF(M47&gt;0,M47-0.2,0))*hAnsatzLohnarbeit,-1)</f>
        <v>100</v>
      </c>
      <c r="L47" s="447"/>
      <c r="M47" s="447">
        <v>0.2</v>
      </c>
      <c r="N47" s="447"/>
      <c r="O47" s="432">
        <v>1</v>
      </c>
      <c r="P47" s="425" t="s">
        <v>23</v>
      </c>
      <c r="Q47" s="93">
        <v>6004</v>
      </c>
      <c r="R47" s="92"/>
    </row>
    <row r="48" spans="1:28" s="94" customFormat="1">
      <c r="A48" s="430">
        <v>6005</v>
      </c>
      <c r="B48" s="431" t="str">
        <f>Text!A155</f>
        <v>Distributeur à engrais centrifuge, plus de 1000 l</v>
      </c>
      <c r="C48" s="432" t="s">
        <v>22</v>
      </c>
      <c r="D48" s="432">
        <v>4</v>
      </c>
      <c r="E48" s="432">
        <f t="shared" si="5"/>
        <v>15.12</v>
      </c>
      <c r="F48" s="115">
        <v>4.1111111111111116</v>
      </c>
      <c r="G48" s="115">
        <v>57</v>
      </c>
      <c r="H48" s="120">
        <v>13.195833333333333</v>
      </c>
      <c r="I48" s="120">
        <v>0.9</v>
      </c>
      <c r="J48" s="120">
        <v>0.8</v>
      </c>
      <c r="K48" s="451">
        <f>ROUND(G48+VLOOKUP(D48,D$79:G$104,4,FALSE)*(J48-N48)+(I48-IF(M48&gt;0,M48-0.2,0))*hAnsatzLohnarbeit,-1)</f>
        <v>140</v>
      </c>
      <c r="L48" s="447"/>
      <c r="M48" s="447">
        <v>0.2</v>
      </c>
      <c r="N48" s="447"/>
      <c r="O48" s="432">
        <v>1</v>
      </c>
      <c r="P48" s="425" t="s">
        <v>23</v>
      </c>
      <c r="Q48" s="93">
        <v>6005</v>
      </c>
      <c r="R48" s="92"/>
      <c r="T48" s="94" t="s">
        <v>38</v>
      </c>
      <c r="U48" s="94" t="s">
        <v>39</v>
      </c>
      <c r="V48" s="94" t="s">
        <v>40</v>
      </c>
      <c r="W48" s="94" t="s">
        <v>41</v>
      </c>
      <c r="X48" s="94" t="s">
        <v>42</v>
      </c>
      <c r="Y48" s="94" t="s">
        <v>43</v>
      </c>
    </row>
    <row r="49" spans="1:25" s="94" customFormat="1">
      <c r="A49" s="430">
        <v>6024</v>
      </c>
      <c r="B49" s="431" t="str">
        <f>Text!A156</f>
        <v>Epandeur à fumier latéral, 5 m3</v>
      </c>
      <c r="C49" s="432" t="s">
        <v>44</v>
      </c>
      <c r="D49" s="432">
        <v>4</v>
      </c>
      <c r="E49" s="432">
        <f>VLOOKUP(D49,Traktor,2)*J49</f>
        <v>2.7216</v>
      </c>
      <c r="F49" s="115">
        <f>U49/W49</f>
        <v>2.333333333333333</v>
      </c>
      <c r="G49" s="115">
        <f t="shared" ref="G49" si="6">T49/W49+3.8/0.6</f>
        <v>19.333333333333332</v>
      </c>
      <c r="H49" s="120">
        <f>V49/W49</f>
        <v>9.6152777777777789</v>
      </c>
      <c r="I49" s="120">
        <f>X49/25+1/(13*0.666)</f>
        <v>0.26350011550011548</v>
      </c>
      <c r="J49" s="120">
        <f>Y49/25</f>
        <v>0.14400000000000002</v>
      </c>
      <c r="K49" s="458">
        <f t="shared" ref="K49:K55" si="7">IF(ROUND(G49+VLOOKUP(D49,D$79:G$104,4,FALSE)*(J49-N49)+(I49-IF(M49&gt;0,M49-0.2,0))*hAnsatzLohnarbeit,0)&gt;10,10,ROUND(G49+VLOOKUP(D49,D$79:G$104,4,FALSE)*(J49-N49)+(I49-IF(M49&gt;0,M49-0.2,0))*hAnsatzLohnarbeit,0))</f>
        <v>10</v>
      </c>
      <c r="L49" s="447"/>
      <c r="M49" s="447">
        <v>0.2</v>
      </c>
      <c r="N49" s="447"/>
      <c r="O49" s="432">
        <v>1</v>
      </c>
      <c r="P49" s="425" t="s">
        <v>23</v>
      </c>
      <c r="Q49" s="93" t="s">
        <v>45</v>
      </c>
      <c r="R49" s="92"/>
      <c r="T49" s="94">
        <v>39</v>
      </c>
      <c r="U49" s="94">
        <v>6.9999999999999991</v>
      </c>
      <c r="V49" s="94">
        <v>28.845833333333335</v>
      </c>
      <c r="W49" s="94">
        <f>0.6*5</f>
        <v>3</v>
      </c>
      <c r="X49" s="94">
        <v>3.7</v>
      </c>
      <c r="Y49" s="94">
        <v>3.6</v>
      </c>
    </row>
    <row r="50" spans="1:25" s="94" customFormat="1">
      <c r="A50" s="430">
        <v>6026</v>
      </c>
      <c r="B50" s="431" t="str">
        <f>Text!A157</f>
        <v>Epandeur à fumier, 8 m3</v>
      </c>
      <c r="C50" s="432" t="s">
        <v>44</v>
      </c>
      <c r="D50" s="432">
        <v>4</v>
      </c>
      <c r="E50" s="432">
        <f t="shared" si="5"/>
        <v>2.2679999999999998</v>
      </c>
      <c r="F50" s="115">
        <f t="shared" ref="F50:F55" si="8">U50/W50</f>
        <v>1.1130952380952381</v>
      </c>
      <c r="G50" s="115">
        <v>4</v>
      </c>
      <c r="H50" s="120">
        <f t="shared" ref="H50:H55" si="9">V50/W50</f>
        <v>4.8125000000000009</v>
      </c>
      <c r="I50" s="120">
        <f t="shared" ref="I50:I55" si="10">X50/25+1/(13*0.666)</f>
        <v>0.23950011550011546</v>
      </c>
      <c r="J50" s="120">
        <f t="shared" ref="J50:J55" si="11">Y50/25</f>
        <v>0.12</v>
      </c>
      <c r="K50" s="458">
        <f t="shared" si="7"/>
        <v>10</v>
      </c>
      <c r="L50" s="447"/>
      <c r="M50" s="447">
        <v>0.2</v>
      </c>
      <c r="N50" s="447"/>
      <c r="O50" s="432">
        <v>1</v>
      </c>
      <c r="P50" s="425" t="s">
        <v>23</v>
      </c>
      <c r="Q50" s="93" t="s">
        <v>46</v>
      </c>
      <c r="R50" s="92"/>
      <c r="T50" s="94">
        <v>31</v>
      </c>
      <c r="U50" s="94">
        <v>5.3428571428571425</v>
      </c>
      <c r="V50" s="94">
        <v>23.1</v>
      </c>
      <c r="W50" s="94">
        <f>0.6*8</f>
        <v>4.8</v>
      </c>
      <c r="X50" s="94">
        <v>3.1</v>
      </c>
      <c r="Y50" s="94">
        <v>3</v>
      </c>
    </row>
    <row r="51" spans="1:25" s="94" customFormat="1">
      <c r="A51" s="430">
        <v>6027</v>
      </c>
      <c r="B51" s="431" t="str">
        <f>Text!A158</f>
        <v>Epandeur de fumier,10 m3</v>
      </c>
      <c r="C51" s="432" t="s">
        <v>44</v>
      </c>
      <c r="D51" s="432">
        <v>5</v>
      </c>
      <c r="E51" s="432">
        <f t="shared" si="5"/>
        <v>2.4079999999999999</v>
      </c>
      <c r="F51" s="115">
        <f t="shared" si="8"/>
        <v>0.83333333333333337</v>
      </c>
      <c r="G51" s="115">
        <v>4</v>
      </c>
      <c r="H51" s="120">
        <f t="shared" si="9"/>
        <v>3.8813333333333335</v>
      </c>
      <c r="I51" s="120">
        <f t="shared" si="10"/>
        <v>0.23150011550011546</v>
      </c>
      <c r="J51" s="120">
        <f t="shared" si="11"/>
        <v>0.11199999999999999</v>
      </c>
      <c r="K51" s="458">
        <f t="shared" si="7"/>
        <v>10</v>
      </c>
      <c r="L51" s="447"/>
      <c r="M51" s="447">
        <v>0.2</v>
      </c>
      <c r="N51" s="447"/>
      <c r="O51" s="432">
        <v>1</v>
      </c>
      <c r="P51" s="425" t="s">
        <v>23</v>
      </c>
      <c r="Q51" s="93" t="s">
        <v>47</v>
      </c>
      <c r="R51" s="92"/>
      <c r="T51" s="94">
        <v>31</v>
      </c>
      <c r="U51" s="94">
        <v>5</v>
      </c>
      <c r="V51" s="94">
        <v>23.288</v>
      </c>
      <c r="W51" s="94">
        <f>0.6*10</f>
        <v>6</v>
      </c>
      <c r="X51" s="94">
        <v>2.9</v>
      </c>
      <c r="Y51" s="94">
        <v>2.8</v>
      </c>
    </row>
    <row r="52" spans="1:25" s="94" customFormat="1">
      <c r="A52" s="430">
        <v>6028</v>
      </c>
      <c r="B52" s="431" t="str">
        <f>Text!A159</f>
        <v>Epandeur de fumier, 12 m3</v>
      </c>
      <c r="C52" s="432" t="s">
        <v>44</v>
      </c>
      <c r="D52" s="432">
        <v>6</v>
      </c>
      <c r="E52" s="432">
        <f t="shared" si="5"/>
        <v>2.7172800000000001</v>
      </c>
      <c r="F52" s="115">
        <f t="shared" si="8"/>
        <v>0.79166666666666674</v>
      </c>
      <c r="G52" s="115">
        <v>4</v>
      </c>
      <c r="H52" s="120">
        <f t="shared" si="9"/>
        <v>3.108888888888889</v>
      </c>
      <c r="I52" s="120">
        <f t="shared" si="10"/>
        <v>0.2235001155001155</v>
      </c>
      <c r="J52" s="120">
        <f t="shared" si="11"/>
        <v>0.10800000000000001</v>
      </c>
      <c r="K52" s="458">
        <f t="shared" si="7"/>
        <v>10</v>
      </c>
      <c r="L52" s="447"/>
      <c r="M52" s="447">
        <v>0.2</v>
      </c>
      <c r="N52" s="447"/>
      <c r="O52" s="432">
        <v>1</v>
      </c>
      <c r="P52" s="425" t="s">
        <v>23</v>
      </c>
      <c r="Q52" s="93" t="s">
        <v>48</v>
      </c>
      <c r="R52" s="92"/>
      <c r="T52" s="94">
        <v>31</v>
      </c>
      <c r="U52" s="94">
        <v>5.7</v>
      </c>
      <c r="V52" s="94">
        <v>22.384</v>
      </c>
      <c r="W52" s="94">
        <f>0.6*12</f>
        <v>7.1999999999999993</v>
      </c>
      <c r="X52" s="94">
        <v>2.7</v>
      </c>
      <c r="Y52" s="94">
        <v>2.7</v>
      </c>
    </row>
    <row r="53" spans="1:25" s="94" customFormat="1">
      <c r="A53" s="430">
        <v>6029</v>
      </c>
      <c r="B53" s="431" t="str">
        <f>Text!A160</f>
        <v>Epandeur universel, 14 m3</v>
      </c>
      <c r="C53" s="432" t="s">
        <v>44</v>
      </c>
      <c r="D53" s="432">
        <v>7</v>
      </c>
      <c r="E53" s="432">
        <f t="shared" si="5"/>
        <v>3.0649999999999999</v>
      </c>
      <c r="F53" s="115">
        <f t="shared" si="8"/>
        <v>0.59523809523809523</v>
      </c>
      <c r="G53" s="115">
        <f t="shared" ref="G53:G55" si="12">T53/W53</f>
        <v>3.333333333333333</v>
      </c>
      <c r="H53" s="120">
        <f t="shared" si="9"/>
        <v>2.4559523809523807</v>
      </c>
      <c r="I53" s="120">
        <f t="shared" si="10"/>
        <v>0.2155001155001155</v>
      </c>
      <c r="J53" s="120">
        <f t="shared" si="11"/>
        <v>0.1</v>
      </c>
      <c r="K53" s="458">
        <f t="shared" si="7"/>
        <v>10</v>
      </c>
      <c r="L53" s="447"/>
      <c r="M53" s="447">
        <v>0.2</v>
      </c>
      <c r="N53" s="447"/>
      <c r="O53" s="432">
        <v>1</v>
      </c>
      <c r="P53" s="425" t="s">
        <v>23</v>
      </c>
      <c r="Q53" s="93" t="s">
        <v>49</v>
      </c>
      <c r="R53" s="92"/>
      <c r="T53" s="94">
        <v>28</v>
      </c>
      <c r="U53" s="94">
        <v>5</v>
      </c>
      <c r="V53" s="94">
        <v>20.63</v>
      </c>
      <c r="W53" s="94">
        <f>0.6*14</f>
        <v>8.4</v>
      </c>
      <c r="X53" s="94">
        <v>2.5</v>
      </c>
      <c r="Y53" s="94">
        <v>2.5</v>
      </c>
    </row>
    <row r="54" spans="1:25" s="94" customFormat="1">
      <c r="A54" s="430">
        <v>6030</v>
      </c>
      <c r="B54" s="431" t="str">
        <f>Text!A161</f>
        <v>Epandeur universel, 16 m3</v>
      </c>
      <c r="C54" s="432" t="s">
        <v>44</v>
      </c>
      <c r="D54" s="432">
        <v>7</v>
      </c>
      <c r="E54" s="432">
        <f t="shared" si="5"/>
        <v>3.0649999999999999</v>
      </c>
      <c r="F54" s="115">
        <f t="shared" si="8"/>
        <v>0.59722222222222232</v>
      </c>
      <c r="G54" s="115">
        <f t="shared" si="12"/>
        <v>3.3333333333333335</v>
      </c>
      <c r="H54" s="120">
        <f t="shared" si="9"/>
        <v>2.4704687500000002</v>
      </c>
      <c r="I54" s="120">
        <f t="shared" si="10"/>
        <v>0.2155001155001155</v>
      </c>
      <c r="J54" s="120">
        <f t="shared" si="11"/>
        <v>0.1</v>
      </c>
      <c r="K54" s="458">
        <f t="shared" si="7"/>
        <v>10</v>
      </c>
      <c r="L54" s="447"/>
      <c r="M54" s="447">
        <v>0.2</v>
      </c>
      <c r="N54" s="447"/>
      <c r="O54" s="432">
        <v>1</v>
      </c>
      <c r="P54" s="425" t="s">
        <v>23</v>
      </c>
      <c r="Q54" s="93" t="s">
        <v>50</v>
      </c>
      <c r="R54" s="92"/>
      <c r="T54" s="94">
        <v>32</v>
      </c>
      <c r="U54" s="94">
        <v>5.7333333333333343</v>
      </c>
      <c r="V54" s="94">
        <v>23.7165</v>
      </c>
      <c r="W54" s="94">
        <f>0.6*16</f>
        <v>9.6</v>
      </c>
      <c r="X54" s="94">
        <v>2.5</v>
      </c>
      <c r="Y54" s="94">
        <v>2.5</v>
      </c>
    </row>
    <row r="55" spans="1:25" s="94" customFormat="1">
      <c r="A55" s="430">
        <v>6031</v>
      </c>
      <c r="B55" s="431" t="str">
        <f>Text!A162</f>
        <v>Epandeur universel, 21 m3</v>
      </c>
      <c r="C55" s="432" t="s">
        <v>44</v>
      </c>
      <c r="D55" s="432">
        <v>9</v>
      </c>
      <c r="E55" s="432">
        <f t="shared" si="5"/>
        <v>4.3622105412844041</v>
      </c>
      <c r="F55" s="115">
        <f t="shared" si="8"/>
        <v>0.58730158730158732</v>
      </c>
      <c r="G55" s="115">
        <f t="shared" si="12"/>
        <v>3.0158730158730158</v>
      </c>
      <c r="H55" s="120">
        <f t="shared" si="9"/>
        <v>2.1371428571428575</v>
      </c>
      <c r="I55" s="120">
        <f t="shared" si="10"/>
        <v>0.2155001155001155</v>
      </c>
      <c r="J55" s="120">
        <f t="shared" si="11"/>
        <v>0.1</v>
      </c>
      <c r="K55" s="458">
        <f t="shared" si="7"/>
        <v>10</v>
      </c>
      <c r="L55" s="447"/>
      <c r="M55" s="447">
        <v>0.2</v>
      </c>
      <c r="N55" s="447"/>
      <c r="O55" s="432">
        <v>1</v>
      </c>
      <c r="P55" s="425" t="s">
        <v>23</v>
      </c>
      <c r="Q55" s="93" t="s">
        <v>51</v>
      </c>
      <c r="R55" s="92"/>
      <c r="T55" s="94">
        <v>38</v>
      </c>
      <c r="U55" s="94">
        <v>7.4</v>
      </c>
      <c r="V55" s="94">
        <v>26.928000000000001</v>
      </c>
      <c r="W55" s="94">
        <f>0.6*21</f>
        <v>12.6</v>
      </c>
      <c r="X55" s="94">
        <v>2.5</v>
      </c>
      <c r="Y55" s="94">
        <v>2.5</v>
      </c>
    </row>
    <row r="56" spans="1:25" s="94" customFormat="1">
      <c r="A56" s="430">
        <v>6096</v>
      </c>
      <c r="B56" s="431" t="str">
        <f>Text!A163</f>
        <v>Citerne lisier 3000 l, avec disp. d'épandage à tuyaux souples, 5 m</v>
      </c>
      <c r="C56" s="432" t="s">
        <v>52</v>
      </c>
      <c r="D56" s="432">
        <v>3</v>
      </c>
      <c r="E56" s="432">
        <f t="shared" si="5"/>
        <v>1.0202999999999998</v>
      </c>
      <c r="F56" s="115">
        <v>0.66625000000000001</v>
      </c>
      <c r="G56" s="115">
        <v>3.2</v>
      </c>
      <c r="H56" s="120">
        <v>2.2599999999999998</v>
      </c>
      <c r="I56" s="120">
        <f>X56/30</f>
        <v>6.3333333333333325E-2</v>
      </c>
      <c r="J56" s="120">
        <f>Y56/30</f>
        <v>6.3333333333333325E-2</v>
      </c>
      <c r="K56" s="458">
        <f t="shared" ref="K56:K62" si="13">IF(ROUND(G56+VLOOKUP(D56,D$79:G$104,4,FALSE)*(J56-N56)+(I56-IF(M56&gt;0,M56-0.2,0))*hAnsatzLohnarbeit,1)&gt;6,6,ROUND(G56+VLOOKUP(D56,D$79:G$104,4,FALSE)*(J56-N56)+(I56-IF(M56&gt;0,M56-0.2,0))*hAnsatzLohnarbeit,1))</f>
        <v>6</v>
      </c>
      <c r="L56" s="447"/>
      <c r="M56" s="447">
        <v>0.2</v>
      </c>
      <c r="N56" s="447"/>
      <c r="O56" s="432">
        <v>1</v>
      </c>
      <c r="P56" s="425" t="s">
        <v>23</v>
      </c>
      <c r="Q56" s="93">
        <v>6096</v>
      </c>
      <c r="R56" s="92"/>
      <c r="X56" s="94">
        <v>1.9</v>
      </c>
      <c r="Y56" s="94">
        <v>1.9</v>
      </c>
    </row>
    <row r="57" spans="1:25" s="94" customFormat="1">
      <c r="A57" s="430">
        <v>6091</v>
      </c>
      <c r="B57" s="431" t="str">
        <f>Text!A164</f>
        <v>Citerne lisier 5000 l, avec disp. d'épandage à tuyaux souples, 9 m</v>
      </c>
      <c r="C57" s="432" t="s">
        <v>52</v>
      </c>
      <c r="D57" s="432">
        <v>3</v>
      </c>
      <c r="E57" s="432">
        <f t="shared" si="5"/>
        <v>1.0202999999999998</v>
      </c>
      <c r="F57" s="115">
        <v>0.64800000000000002</v>
      </c>
      <c r="G57" s="115">
        <v>2.4</v>
      </c>
      <c r="H57" s="120">
        <v>1.5174705882352939</v>
      </c>
      <c r="I57" s="120">
        <f t="shared" ref="I57:I62" si="14">X57/30</f>
        <v>6.3333333333333325E-2</v>
      </c>
      <c r="J57" s="120">
        <f t="shared" ref="J57:J62" si="15">Y57/30</f>
        <v>6.3333333333333325E-2</v>
      </c>
      <c r="K57" s="458">
        <f t="shared" si="13"/>
        <v>6</v>
      </c>
      <c r="L57" s="447"/>
      <c r="M57" s="447">
        <v>0.2</v>
      </c>
      <c r="N57" s="447"/>
      <c r="O57" s="432">
        <v>1</v>
      </c>
      <c r="P57" s="425" t="s">
        <v>23</v>
      </c>
      <c r="Q57" s="93">
        <v>6091</v>
      </c>
      <c r="R57" s="92"/>
      <c r="X57" s="94">
        <v>1.9</v>
      </c>
      <c r="Y57" s="94">
        <v>1.9</v>
      </c>
    </row>
    <row r="58" spans="1:25" s="94" customFormat="1">
      <c r="A58" s="430">
        <v>6092</v>
      </c>
      <c r="B58" s="431" t="str">
        <f>Text!A165</f>
        <v>Citerne lisier 6000 l, avec disp. d'épandage à tuyaux souples, 12 m</v>
      </c>
      <c r="C58" s="432" t="s">
        <v>52</v>
      </c>
      <c r="D58" s="432">
        <v>4</v>
      </c>
      <c r="E58" s="432">
        <f t="shared" si="5"/>
        <v>1.071</v>
      </c>
      <c r="F58" s="115">
        <v>0.62333333333333341</v>
      </c>
      <c r="G58" s="115">
        <v>2.5</v>
      </c>
      <c r="H58" s="120">
        <v>1.6750129870129871</v>
      </c>
      <c r="I58" s="120">
        <f t="shared" si="14"/>
        <v>5.6666666666666664E-2</v>
      </c>
      <c r="J58" s="120">
        <f t="shared" si="15"/>
        <v>5.6666666666666664E-2</v>
      </c>
      <c r="K58" s="458">
        <f t="shared" si="13"/>
        <v>6</v>
      </c>
      <c r="L58" s="447"/>
      <c r="M58" s="447">
        <v>0.2</v>
      </c>
      <c r="N58" s="447"/>
      <c r="O58" s="432">
        <v>1</v>
      </c>
      <c r="P58" s="425" t="s">
        <v>23</v>
      </c>
      <c r="Q58" s="93">
        <v>6092</v>
      </c>
      <c r="R58" s="92"/>
      <c r="X58" s="94">
        <v>1.7</v>
      </c>
      <c r="Y58" s="94">
        <v>1.7</v>
      </c>
    </row>
    <row r="59" spans="1:25" s="94" customFormat="1">
      <c r="A59" s="430">
        <v>6093</v>
      </c>
      <c r="B59" s="431" t="str">
        <f>Text!A166</f>
        <v>Citerne lisier 8000 l, avec disp. d'épandage à tuyaux souples, 12 m</v>
      </c>
      <c r="C59" s="432" t="s">
        <v>52</v>
      </c>
      <c r="D59" s="432">
        <v>5</v>
      </c>
      <c r="E59" s="432">
        <f t="shared" si="5"/>
        <v>1.075</v>
      </c>
      <c r="F59" s="115">
        <v>0.53625</v>
      </c>
      <c r="G59" s="115">
        <v>2.5</v>
      </c>
      <c r="H59" s="120">
        <v>1.7634134615384616</v>
      </c>
      <c r="I59" s="120">
        <f t="shared" si="14"/>
        <v>0.05</v>
      </c>
      <c r="J59" s="120">
        <f t="shared" si="15"/>
        <v>0.05</v>
      </c>
      <c r="K59" s="458">
        <f t="shared" si="13"/>
        <v>6</v>
      </c>
      <c r="L59" s="447"/>
      <c r="M59" s="447">
        <v>0.2</v>
      </c>
      <c r="N59" s="447"/>
      <c r="O59" s="432">
        <v>1</v>
      </c>
      <c r="P59" s="425" t="s">
        <v>23</v>
      </c>
      <c r="Q59" s="93">
        <v>6093</v>
      </c>
      <c r="R59" s="92"/>
      <c r="X59" s="94">
        <v>1.5</v>
      </c>
      <c r="Y59" s="94">
        <v>1.5</v>
      </c>
    </row>
    <row r="60" spans="1:25" s="94" customFormat="1">
      <c r="A60" s="430">
        <v>6094</v>
      </c>
      <c r="B60" s="431" t="str">
        <f>Text!A167</f>
        <v>Citerne lisier 10000 l, avec disp. d'épandage à tuyaux souples, 12 m</v>
      </c>
      <c r="C60" s="432" t="s">
        <v>52</v>
      </c>
      <c r="D60" s="432">
        <v>6</v>
      </c>
      <c r="E60" s="432">
        <f t="shared" si="5"/>
        <v>1.0902666666666667</v>
      </c>
      <c r="F60" s="115">
        <v>0.47850000000000004</v>
      </c>
      <c r="G60" s="115">
        <v>2.1</v>
      </c>
      <c r="H60" s="120">
        <v>1.3992000000000002</v>
      </c>
      <c r="I60" s="120">
        <f t="shared" si="14"/>
        <v>4.3333333333333335E-2</v>
      </c>
      <c r="J60" s="120">
        <f t="shared" si="15"/>
        <v>4.3333333333333335E-2</v>
      </c>
      <c r="K60" s="458">
        <f t="shared" si="13"/>
        <v>6</v>
      </c>
      <c r="L60" s="447"/>
      <c r="M60" s="447">
        <v>0.2</v>
      </c>
      <c r="N60" s="447"/>
      <c r="O60" s="432">
        <v>1</v>
      </c>
      <c r="P60" s="425" t="s">
        <v>23</v>
      </c>
      <c r="Q60" s="93">
        <v>6094</v>
      </c>
      <c r="R60" s="92"/>
      <c r="X60" s="94">
        <v>1.3</v>
      </c>
      <c r="Y60" s="94">
        <v>1.3</v>
      </c>
    </row>
    <row r="61" spans="1:25" s="94" customFormat="1">
      <c r="A61" s="430">
        <v>6095</v>
      </c>
      <c r="B61" s="431" t="str">
        <f>Text!A168</f>
        <v>Citerne lisier 12000 l, avec disp. d'épandage à tuyaux souples, 12 m</v>
      </c>
      <c r="C61" s="432" t="s">
        <v>52</v>
      </c>
      <c r="D61" s="432">
        <v>7</v>
      </c>
      <c r="E61" s="432">
        <f t="shared" si="5"/>
        <v>1.3281666666666667</v>
      </c>
      <c r="F61" s="115">
        <v>0.42625000000000007</v>
      </c>
      <c r="G61" s="115">
        <v>1.9</v>
      </c>
      <c r="H61" s="120">
        <v>1.3321185185185185</v>
      </c>
      <c r="I61" s="120">
        <f t="shared" si="14"/>
        <v>4.3333333333333335E-2</v>
      </c>
      <c r="J61" s="120">
        <f t="shared" si="15"/>
        <v>4.3333333333333335E-2</v>
      </c>
      <c r="K61" s="458">
        <f t="shared" si="13"/>
        <v>6</v>
      </c>
      <c r="L61" s="447"/>
      <c r="M61" s="447">
        <v>0.2</v>
      </c>
      <c r="N61" s="447"/>
      <c r="O61" s="432">
        <v>1</v>
      </c>
      <c r="P61" s="425" t="s">
        <v>23</v>
      </c>
      <c r="Q61" s="93">
        <v>6095</v>
      </c>
      <c r="R61" s="92"/>
      <c r="X61" s="94">
        <v>1.3</v>
      </c>
      <c r="Y61" s="94">
        <v>1.3</v>
      </c>
    </row>
    <row r="62" spans="1:25" s="94" customFormat="1">
      <c r="A62" s="430">
        <v>6097</v>
      </c>
      <c r="B62" s="431" t="str">
        <f>Text!A169</f>
        <v>Citerne lisier 15000 l, avec disp. d'épandage à tuyaux souples, 15 m</v>
      </c>
      <c r="C62" s="432" t="s">
        <v>52</v>
      </c>
      <c r="D62" s="432">
        <v>8</v>
      </c>
      <c r="E62" s="432">
        <f t="shared" si="5"/>
        <v>1.3340034877675842</v>
      </c>
      <c r="F62" s="115">
        <v>0.47666666666666674</v>
      </c>
      <c r="G62" s="115">
        <v>2.2999999999999998</v>
      </c>
      <c r="H62" s="120">
        <v>1.6401333333333334</v>
      </c>
      <c r="I62" s="120">
        <f t="shared" si="14"/>
        <v>0.04</v>
      </c>
      <c r="J62" s="120">
        <f t="shared" si="15"/>
        <v>3.6666666666666667E-2</v>
      </c>
      <c r="K62" s="458">
        <f t="shared" si="13"/>
        <v>6</v>
      </c>
      <c r="L62" s="447"/>
      <c r="M62" s="447">
        <v>0.2</v>
      </c>
      <c r="N62" s="447"/>
      <c r="O62" s="432">
        <v>1</v>
      </c>
      <c r="P62" s="425" t="s">
        <v>23</v>
      </c>
      <c r="Q62" s="93">
        <v>6097</v>
      </c>
      <c r="R62" s="92"/>
      <c r="X62" s="94">
        <v>1.2</v>
      </c>
      <c r="Y62" s="94">
        <v>1.1000000000000001</v>
      </c>
    </row>
    <row r="63" spans="1:25" s="91" customFormat="1" ht="18" customHeight="1">
      <c r="A63" s="438">
        <v>0</v>
      </c>
      <c r="B63" s="439" t="str">
        <f>Text!A170</f>
        <v>Protection des plantes</v>
      </c>
      <c r="C63" s="438"/>
      <c r="D63" s="438"/>
      <c r="E63" s="438"/>
      <c r="F63" s="99"/>
      <c r="G63" s="99"/>
      <c r="H63" s="123"/>
      <c r="I63" s="100"/>
      <c r="J63" s="100"/>
      <c r="K63" s="457"/>
      <c r="L63" s="453"/>
      <c r="M63" s="453"/>
      <c r="N63" s="453"/>
      <c r="O63" s="454"/>
      <c r="P63" s="424"/>
    </row>
    <row r="64" spans="1:25" s="94" customFormat="1">
      <c r="A64" s="433">
        <v>5153</v>
      </c>
      <c r="B64" s="434" t="str">
        <f>Text!A171</f>
        <v>Pulvérisateur porté, rampe 12 m, réservoir 600 l</v>
      </c>
      <c r="C64" s="432" t="s">
        <v>22</v>
      </c>
      <c r="D64" s="432">
        <v>2</v>
      </c>
      <c r="E64" s="432">
        <f t="shared" ref="E64:E67" si="16">VLOOKUP(D64,Traktor,2)*J64</f>
        <v>11.32</v>
      </c>
      <c r="F64" s="115">
        <v>15.166666666666666</v>
      </c>
      <c r="G64" s="115">
        <v>55</v>
      </c>
      <c r="H64" s="115">
        <v>34.6</v>
      </c>
      <c r="I64" s="115">
        <v>0.9</v>
      </c>
      <c r="J64" s="115">
        <v>0.8</v>
      </c>
      <c r="K64" s="459">
        <f>ROUND(G64+VLOOKUP(D64,D$79:G$104,4,FALSE)*(J64-N64)+(I64-IF(M64&gt;0,M64-0.2,0))*hAnsatzLohnarbeit,-1)</f>
        <v>130</v>
      </c>
      <c r="L64" s="447"/>
      <c r="M64" s="447">
        <v>0.2</v>
      </c>
      <c r="N64" s="447"/>
      <c r="O64" s="432">
        <v>2</v>
      </c>
      <c r="P64" s="425" t="s">
        <v>23</v>
      </c>
      <c r="Q64" s="93">
        <v>5153</v>
      </c>
      <c r="R64" s="92"/>
    </row>
    <row r="65" spans="1:26" s="94" customFormat="1">
      <c r="A65" s="433">
        <v>5154</v>
      </c>
      <c r="B65" s="434" t="str">
        <f>Text!A172</f>
        <v>Pulvérisateur porté, rampe 15 m, réservoir 800 l</v>
      </c>
      <c r="C65" s="432" t="s">
        <v>22</v>
      </c>
      <c r="D65" s="432">
        <v>3</v>
      </c>
      <c r="E65" s="432">
        <f t="shared" si="16"/>
        <v>12.888</v>
      </c>
      <c r="F65" s="115">
        <v>7</v>
      </c>
      <c r="G65" s="115">
        <v>28</v>
      </c>
      <c r="H65" s="115">
        <v>18.690000000000001</v>
      </c>
      <c r="I65" s="115">
        <v>0.9</v>
      </c>
      <c r="J65" s="115">
        <v>0.8</v>
      </c>
      <c r="K65" s="459">
        <f>ROUND(G65+VLOOKUP(D65,D$79:G$104,4,FALSE)*(J65-N65)+(I65-IF(M65&gt;0,M65-0.2,0))*hAnsatzLohnarbeit,-1)</f>
        <v>100</v>
      </c>
      <c r="L65" s="447"/>
      <c r="M65" s="447">
        <v>0.2</v>
      </c>
      <c r="N65" s="447"/>
      <c r="O65" s="432">
        <v>2</v>
      </c>
      <c r="P65" s="425" t="s">
        <v>23</v>
      </c>
      <c r="Q65" s="93">
        <v>5154</v>
      </c>
      <c r="R65" s="92"/>
    </row>
    <row r="66" spans="1:26" s="94" customFormat="1">
      <c r="A66" s="433">
        <v>13021</v>
      </c>
      <c r="B66" s="434" t="str">
        <f>Text!A173</f>
        <v>Pulvérisateur porté avec ventilateur, réservoir 500 l</v>
      </c>
      <c r="C66" s="432" t="s">
        <v>22</v>
      </c>
      <c r="D66" s="432">
        <v>9</v>
      </c>
      <c r="E66" s="432">
        <f t="shared" si="16"/>
        <v>65.433158119266054</v>
      </c>
      <c r="F66" s="115">
        <v>12</v>
      </c>
      <c r="G66" s="115">
        <v>28</v>
      </c>
      <c r="H66" s="115">
        <v>13.219444444444443</v>
      </c>
      <c r="I66" s="115">
        <v>1.5</v>
      </c>
      <c r="J66" s="115">
        <v>1.5</v>
      </c>
      <c r="K66" s="459">
        <f>ROUND(G66+VLOOKUP(D66,D$79:G$104,4,FALSE)*(J66-N66)+(I66-IF(M66&gt;0,M66-0.2,0))*hAnsatzLohnarbeit,-1)</f>
        <v>230</v>
      </c>
      <c r="L66" s="447"/>
      <c r="M66" s="447">
        <v>0.2</v>
      </c>
      <c r="N66" s="447"/>
      <c r="O66" s="432">
        <v>2</v>
      </c>
      <c r="P66" s="425" t="s">
        <v>23</v>
      </c>
      <c r="Q66" s="93">
        <v>13021</v>
      </c>
      <c r="R66" s="92"/>
    </row>
    <row r="67" spans="1:26" s="94" customFormat="1">
      <c r="A67" s="433">
        <v>13022</v>
      </c>
      <c r="B67" s="434" t="str">
        <f>Text!A174</f>
        <v>Pulvérisateur traîné avec ventilateur, réservoir 1000 l</v>
      </c>
      <c r="C67" s="432" t="s">
        <v>22</v>
      </c>
      <c r="D67" s="432">
        <v>9</v>
      </c>
      <c r="E67" s="432">
        <f t="shared" si="16"/>
        <v>34.897684330275233</v>
      </c>
      <c r="F67" s="115">
        <v>9.7999999999999989</v>
      </c>
      <c r="G67" s="115">
        <v>31</v>
      </c>
      <c r="H67" s="115">
        <v>18.491666666666667</v>
      </c>
      <c r="I67" s="115">
        <v>0.8</v>
      </c>
      <c r="J67" s="115">
        <v>0.8</v>
      </c>
      <c r="K67" s="459">
        <f>ROUND(G67+VLOOKUP(D67,D$79:G$104,4,FALSE)*(J67-N67)+(I67-IF(M67&gt;0,M67-0.2,0))*hAnsatzLohnarbeit,-1)</f>
        <v>140</v>
      </c>
      <c r="L67" s="447"/>
      <c r="M67" s="447">
        <v>0.2</v>
      </c>
      <c r="N67" s="447"/>
      <c r="O67" s="432">
        <v>2</v>
      </c>
      <c r="P67" s="425" t="s">
        <v>23</v>
      </c>
      <c r="Q67" s="93">
        <v>13022</v>
      </c>
      <c r="R67" s="92"/>
    </row>
    <row r="68" spans="1:26" s="91" customFormat="1" ht="15" customHeight="1">
      <c r="A68" s="438">
        <v>0</v>
      </c>
      <c r="B68" s="439" t="str">
        <f>Text!A175</f>
        <v>Récolte céréales/sarclées</v>
      </c>
      <c r="C68" s="438"/>
      <c r="D68" s="438"/>
      <c r="E68" s="438"/>
      <c r="F68" s="99"/>
      <c r="G68" s="99"/>
      <c r="H68" s="123"/>
      <c r="I68" s="100"/>
      <c r="J68" s="104"/>
      <c r="K68" s="460"/>
      <c r="L68" s="453"/>
      <c r="M68" s="453"/>
      <c r="N68" s="453"/>
      <c r="O68" s="454"/>
      <c r="P68" s="424"/>
    </row>
    <row r="69" spans="1:26" s="94" customFormat="1">
      <c r="A69" s="433">
        <v>8063</v>
      </c>
      <c r="B69" s="434" t="str">
        <f>Text!A176</f>
        <v>Récolt. totale de betteraves sucrières, traînée, 2 rangs</v>
      </c>
      <c r="C69" s="432" t="s">
        <v>22</v>
      </c>
      <c r="D69" s="432">
        <v>6</v>
      </c>
      <c r="E69" s="432">
        <f t="shared" ref="E69:E74" si="17">VLOOKUP(D69,Traktor,2)*J69</f>
        <v>93.091999999999999</v>
      </c>
      <c r="F69" s="115">
        <v>187.6</v>
      </c>
      <c r="G69" s="115">
        <v>430</v>
      </c>
      <c r="H69" s="115">
        <v>204.74857142857141</v>
      </c>
      <c r="I69" s="115">
        <v>3.8</v>
      </c>
      <c r="J69" s="115">
        <v>3.7</v>
      </c>
      <c r="K69" s="459">
        <f>ROUND(G69+VLOOKUP(D69,D$79:G$104,4,FALSE)*(J69-N69)+(I69-IF(M69&gt;0,M69-0.2,0))*hAnsatzLohnarbeit,-1)</f>
        <v>810</v>
      </c>
      <c r="L69" s="447"/>
      <c r="M69" s="447">
        <v>0.2</v>
      </c>
      <c r="N69" s="447"/>
      <c r="O69" s="432">
        <v>3</v>
      </c>
      <c r="P69" s="425" t="s">
        <v>23</v>
      </c>
      <c r="Q69" s="93">
        <v>8063</v>
      </c>
      <c r="R69" s="92"/>
      <c r="W69" s="102"/>
    </row>
    <row r="70" spans="1:26" s="94" customFormat="1">
      <c r="A70" s="433">
        <v>8067</v>
      </c>
      <c r="B70" s="434" t="str">
        <f>Text!A177</f>
        <v>Récolteuse totale de betteraves, automotrice,   6 rangs, 24 m3, moteur à diesel, 480 kW (652 ch)</v>
      </c>
      <c r="C70" s="432" t="s">
        <v>22</v>
      </c>
      <c r="D70" s="432" t="s">
        <v>53</v>
      </c>
      <c r="E70" s="432">
        <f t="shared" si="17"/>
        <v>0</v>
      </c>
      <c r="F70" s="115">
        <v>184.22</v>
      </c>
      <c r="G70" s="115">
        <v>560</v>
      </c>
      <c r="H70" s="115">
        <v>325.15750000000003</v>
      </c>
      <c r="I70" s="115">
        <v>1.7</v>
      </c>
      <c r="J70" s="115">
        <v>1.6</v>
      </c>
      <c r="K70" s="459">
        <f>ROUND(G70+VLOOKUP(D70,D$79:G$104,4,FALSE)*(J70-N70)+(I70-IF(M70&gt;0,M70-0.2,0))*hAnsatzLohnarbeit,-1)</f>
        <v>650</v>
      </c>
      <c r="L70" s="447"/>
      <c r="M70" s="447">
        <v>0.2</v>
      </c>
      <c r="N70" s="447"/>
      <c r="O70" s="432">
        <v>3</v>
      </c>
      <c r="P70" s="425" t="s">
        <v>23</v>
      </c>
      <c r="Q70" s="93">
        <v>8067</v>
      </c>
      <c r="R70" s="92"/>
      <c r="W70" s="102"/>
    </row>
    <row r="71" spans="1:26" s="94" customFormat="1">
      <c r="A71" s="433">
        <v>8082</v>
      </c>
      <c r="B71" s="434" t="str">
        <f>Text!A178</f>
        <v>Chargeuse à betteraves,  automotrice, moteur à diesel, 260 kW (354 ch)</v>
      </c>
      <c r="C71" s="432" t="s">
        <v>44</v>
      </c>
      <c r="D71" s="432" t="s">
        <v>53</v>
      </c>
      <c r="E71" s="432">
        <f t="shared" si="17"/>
        <v>0</v>
      </c>
      <c r="F71" s="115">
        <v>1.0159615384615384</v>
      </c>
      <c r="G71" s="115">
        <v>2.5</v>
      </c>
      <c r="H71" s="115">
        <v>1.2351730769230769</v>
      </c>
      <c r="I71" s="115">
        <v>2.4</v>
      </c>
      <c r="J71" s="115">
        <v>2.4</v>
      </c>
      <c r="K71" s="459">
        <f>ROUND(G71+VLOOKUP(D71,D$79:G$104,4,FALSE)*(J71-N71)+(I71-IF(M71&gt;0,M71-0.2,0))*hAnsatzLohnarbeit,-1)</f>
        <v>130</v>
      </c>
      <c r="L71" s="447"/>
      <c r="M71" s="447">
        <v>0.2</v>
      </c>
      <c r="N71" s="447"/>
      <c r="O71" s="432">
        <v>3</v>
      </c>
      <c r="P71" s="425" t="s">
        <v>23</v>
      </c>
      <c r="Q71" s="93">
        <v>8082</v>
      </c>
      <c r="R71" s="92"/>
      <c r="W71" s="102"/>
    </row>
    <row r="72" spans="1:26" s="91" customFormat="1" ht="13.5" customHeight="1">
      <c r="A72" s="428">
        <v>0</v>
      </c>
      <c r="B72" s="429" t="str">
        <f>Text!A179</f>
        <v>Transports</v>
      </c>
      <c r="C72" s="428"/>
      <c r="D72" s="428"/>
      <c r="E72" s="428"/>
      <c r="F72" s="88"/>
      <c r="G72" s="88"/>
      <c r="H72" s="89"/>
      <c r="I72" s="105"/>
      <c r="J72" s="103"/>
      <c r="K72" s="451"/>
      <c r="L72" s="455"/>
      <c r="M72" s="455"/>
      <c r="N72" s="455"/>
      <c r="O72" s="456"/>
      <c r="P72" s="424"/>
    </row>
    <row r="73" spans="1:26" s="91" customFormat="1" ht="13.2">
      <c r="A73" s="433">
        <v>3010</v>
      </c>
      <c r="B73" s="434" t="str">
        <f>Text!A180</f>
        <v>Remorque à essieux tandem, bh, 10 t</v>
      </c>
      <c r="C73" s="442" t="s">
        <v>9</v>
      </c>
      <c r="D73" s="432">
        <v>5</v>
      </c>
      <c r="E73" s="432">
        <f t="shared" si="17"/>
        <v>129</v>
      </c>
      <c r="F73" s="115">
        <v>11.962499999999999</v>
      </c>
      <c r="G73" s="115">
        <v>50</v>
      </c>
      <c r="H73" s="115">
        <v>33.880555555555553</v>
      </c>
      <c r="I73" s="115">
        <v>6</v>
      </c>
      <c r="J73" s="115">
        <v>6</v>
      </c>
      <c r="K73" s="446">
        <f>ROUND(G73+VLOOKUP(D73,D$79:G$104,4,FALSE)*(J73-N73)+(I73-IF(M73&gt;0,M73-0.2,0))*hAnsatzLohnarbeit,-1)</f>
        <v>630</v>
      </c>
      <c r="L73" s="447"/>
      <c r="M73" s="447">
        <v>0.2</v>
      </c>
      <c r="N73" s="447"/>
      <c r="O73" s="432">
        <v>3</v>
      </c>
      <c r="P73" s="425" t="s">
        <v>23</v>
      </c>
      <c r="Q73" s="93">
        <v>3010</v>
      </c>
    </row>
    <row r="74" spans="1:26" s="91" customFormat="1" ht="13.2">
      <c r="A74" s="433">
        <v>3011</v>
      </c>
      <c r="B74" s="434" t="str">
        <f>Text!A181</f>
        <v>Remorque à essieux tandem, bh, 15 t</v>
      </c>
      <c r="C74" s="442" t="s">
        <v>9</v>
      </c>
      <c r="D74" s="432">
        <v>5</v>
      </c>
      <c r="E74" s="432">
        <f t="shared" si="17"/>
        <v>88.149999999999991</v>
      </c>
      <c r="F74" s="115">
        <v>12.35</v>
      </c>
      <c r="G74" s="115">
        <v>49</v>
      </c>
      <c r="H74" s="115">
        <v>32.466666666666669</v>
      </c>
      <c r="I74" s="115">
        <v>4.0999999999999996</v>
      </c>
      <c r="J74" s="115">
        <v>4.0999999999999996</v>
      </c>
      <c r="K74" s="446">
        <f>ROUND(G74+VLOOKUP(D74,D$79:G$104,4,FALSE)*(J74-N74)+(I74-IF(M74&gt;0,M74-0.2,0))*hAnsatzLohnarbeit,-1)</f>
        <v>440</v>
      </c>
      <c r="L74" s="447"/>
      <c r="M74" s="447">
        <v>0.2</v>
      </c>
      <c r="N74" s="447"/>
      <c r="O74" s="432">
        <v>3</v>
      </c>
      <c r="P74" s="425" t="s">
        <v>23</v>
      </c>
      <c r="Q74" s="93">
        <v>3011</v>
      </c>
    </row>
    <row r="75" spans="1:26" s="91" customFormat="1" ht="23.4">
      <c r="A75" s="443" t="s">
        <v>54</v>
      </c>
      <c r="B75" s="441" t="str">
        <f>Text!A182</f>
        <v>Traction de remorque, à essieux tandem, bh, 15 t, à 2 - essieux,bh plus de 10 t</v>
      </c>
      <c r="C75" s="442" t="s">
        <v>9</v>
      </c>
      <c r="D75" s="432">
        <v>8</v>
      </c>
      <c r="E75" s="432">
        <f>VLOOKUP(D75,Traktor,2)*J75</f>
        <v>72.76382660550459</v>
      </c>
      <c r="F75" s="445">
        <v>23.7</v>
      </c>
      <c r="G75" s="445">
        <v>110</v>
      </c>
      <c r="H75" s="445"/>
      <c r="I75" s="445">
        <v>2</v>
      </c>
      <c r="J75" s="445">
        <v>2</v>
      </c>
      <c r="K75" s="446"/>
      <c r="L75" s="447"/>
      <c r="M75" s="447"/>
      <c r="N75" s="447"/>
      <c r="O75" s="432"/>
      <c r="P75" s="425" t="s">
        <v>23</v>
      </c>
      <c r="Q75" s="94" t="s">
        <v>55</v>
      </c>
    </row>
    <row r="76" spans="1:26" s="94" customFormat="1">
      <c r="A76" s="427"/>
      <c r="B76" s="440"/>
      <c r="C76" s="444"/>
      <c r="D76" s="444"/>
      <c r="E76" s="444"/>
      <c r="F76" s="444"/>
      <c r="G76" s="444"/>
      <c r="H76" s="444"/>
      <c r="I76" s="444"/>
      <c r="J76" s="444"/>
      <c r="K76" s="448"/>
      <c r="L76" s="447"/>
      <c r="M76" s="447"/>
      <c r="N76" s="447"/>
      <c r="O76" s="444"/>
      <c r="P76" s="425"/>
    </row>
    <row r="77" spans="1:26" s="94" customFormat="1">
      <c r="A77" s="427"/>
      <c r="B77" s="440"/>
      <c r="C77" s="444"/>
      <c r="D77" s="444"/>
      <c r="E77" s="444"/>
      <c r="F77" s="444"/>
      <c r="G77" s="444"/>
      <c r="H77" s="444"/>
      <c r="I77" s="444"/>
      <c r="J77" s="444"/>
      <c r="K77" s="448"/>
      <c r="L77" s="447"/>
      <c r="M77" s="447"/>
      <c r="N77" s="447"/>
      <c r="O77" s="444"/>
      <c r="P77" s="425"/>
    </row>
    <row r="78" spans="1:26" s="94" customFormat="1" ht="33" customHeight="1">
      <c r="A78" s="106">
        <v>0</v>
      </c>
      <c r="B78" s="107" t="str">
        <f>Text!A183</f>
        <v>Tracteurs</v>
      </c>
      <c r="C78" s="108"/>
      <c r="D78" s="109" t="s">
        <v>56</v>
      </c>
      <c r="E78" s="110" t="s">
        <v>57</v>
      </c>
      <c r="F78" s="110" t="s">
        <v>58</v>
      </c>
      <c r="G78" s="110" t="s">
        <v>59</v>
      </c>
      <c r="H78" s="125"/>
      <c r="I78" s="480"/>
      <c r="J78" s="427"/>
      <c r="K78" s="477"/>
      <c r="L78" s="478"/>
      <c r="M78" s="478"/>
      <c r="N78" s="478"/>
      <c r="O78" s="444"/>
      <c r="P78" s="427"/>
      <c r="Q78" s="112"/>
      <c r="R78" s="109" t="s">
        <v>57</v>
      </c>
      <c r="S78" s="109"/>
      <c r="T78" s="109" t="s">
        <v>59</v>
      </c>
      <c r="X78" s="110" t="s">
        <v>60</v>
      </c>
      <c r="Y78" s="111"/>
      <c r="Z78" s="110" t="s">
        <v>61</v>
      </c>
    </row>
    <row r="79" spans="1:26" s="94" customFormat="1">
      <c r="A79" s="430">
        <v>1001</v>
      </c>
      <c r="B79" s="485" t="str">
        <f>Text!A184</f>
        <v>Tracteur 30-36 kW  (41-49 ch)</v>
      </c>
      <c r="C79" s="432"/>
      <c r="D79" s="432">
        <v>1</v>
      </c>
      <c r="E79" s="115">
        <v>11.462</v>
      </c>
      <c r="F79" s="444">
        <v>13.226666666666667</v>
      </c>
      <c r="G79" s="115">
        <v>27</v>
      </c>
      <c r="H79" s="126"/>
      <c r="I79" s="480"/>
      <c r="J79" s="444"/>
      <c r="K79" s="481"/>
      <c r="L79" s="447"/>
      <c r="M79" s="447"/>
      <c r="N79" s="447"/>
      <c r="O79" s="444"/>
      <c r="P79" s="425" t="s">
        <v>23</v>
      </c>
      <c r="Q79" s="93">
        <v>1001</v>
      </c>
    </row>
    <row r="80" spans="1:26" s="94" customFormat="1">
      <c r="A80" s="430" t="s">
        <v>62</v>
      </c>
      <c r="B80" s="485" t="str">
        <f>Text!A185</f>
        <v>Tracteur, 33 kW, roues jumelées</v>
      </c>
      <c r="C80" s="432"/>
      <c r="D80" s="432" t="s">
        <v>63</v>
      </c>
      <c r="E80" s="116">
        <f>E79+$E$103</f>
        <v>13.442</v>
      </c>
      <c r="F80" s="445">
        <f>F79+F$103</f>
        <v>17.296518518518518</v>
      </c>
      <c r="G80" s="116">
        <f>G79+$G$103</f>
        <v>33.6</v>
      </c>
      <c r="H80" s="127"/>
      <c r="I80" s="480"/>
      <c r="J80" s="444"/>
      <c r="K80" s="481"/>
      <c r="L80" s="447"/>
      <c r="M80" s="447"/>
      <c r="N80" s="447"/>
      <c r="O80" s="444"/>
      <c r="P80" s="425"/>
      <c r="Q80" s="93" t="s">
        <v>62</v>
      </c>
    </row>
    <row r="81" spans="1:21" s="94" customFormat="1">
      <c r="A81" s="430">
        <v>1002</v>
      </c>
      <c r="B81" s="485" t="str">
        <f>Text!A186</f>
        <v>Tracteur 37-44 kW  (50-60 ch)</v>
      </c>
      <c r="C81" s="432"/>
      <c r="D81" s="432">
        <v>2</v>
      </c>
      <c r="E81" s="115">
        <v>14.15</v>
      </c>
      <c r="F81" s="444">
        <v>16.201666666666668</v>
      </c>
      <c r="G81" s="115">
        <v>33</v>
      </c>
      <c r="H81" s="126"/>
      <c r="I81" s="480"/>
      <c r="J81" s="444"/>
      <c r="K81" s="481"/>
      <c r="L81" s="447"/>
      <c r="M81" s="447"/>
      <c r="N81" s="447"/>
      <c r="O81" s="444"/>
      <c r="P81" s="425"/>
      <c r="Q81" s="93">
        <v>1002</v>
      </c>
    </row>
    <row r="82" spans="1:21" s="94" customFormat="1">
      <c r="A82" s="430" t="s">
        <v>62</v>
      </c>
      <c r="B82" s="485" t="str">
        <f>Text!A187</f>
        <v>Tracteur, 41 kW, roues jumelées</v>
      </c>
      <c r="C82" s="432"/>
      <c r="D82" s="432" t="s">
        <v>64</v>
      </c>
      <c r="E82" s="116">
        <f>E81+$E$103</f>
        <v>16.13</v>
      </c>
      <c r="F82" s="445">
        <f>F81+F$103</f>
        <v>20.271518518518519</v>
      </c>
      <c r="G82" s="116">
        <f>G81+$G$103</f>
        <v>39.6</v>
      </c>
      <c r="H82" s="127"/>
      <c r="I82" s="480"/>
      <c r="J82" s="444"/>
      <c r="K82" s="481"/>
      <c r="L82" s="447"/>
      <c r="M82" s="447"/>
      <c r="N82" s="447"/>
      <c r="O82" s="444"/>
      <c r="P82" s="425" t="s">
        <v>23</v>
      </c>
      <c r="Q82" s="93" t="s">
        <v>62</v>
      </c>
      <c r="R82" s="94">
        <v>1021</v>
      </c>
      <c r="S82" s="94">
        <v>1022</v>
      </c>
      <c r="T82" s="94">
        <v>1023</v>
      </c>
      <c r="U82" s="94">
        <v>1024</v>
      </c>
    </row>
    <row r="83" spans="1:21" s="94" customFormat="1">
      <c r="A83" s="430">
        <v>1003</v>
      </c>
      <c r="B83" s="485" t="str">
        <f>Text!A188</f>
        <v>Tracteur 45-54 kW  (61-73 ch)</v>
      </c>
      <c r="C83" s="432"/>
      <c r="D83" s="432">
        <v>3</v>
      </c>
      <c r="E83" s="115">
        <v>16.11</v>
      </c>
      <c r="F83" s="444">
        <v>15.278571428571428</v>
      </c>
      <c r="G83" s="115">
        <v>35</v>
      </c>
      <c r="H83" s="126"/>
      <c r="I83" s="480"/>
      <c r="J83" s="444"/>
      <c r="K83" s="481"/>
      <c r="L83" s="447"/>
      <c r="M83" s="447"/>
      <c r="N83" s="447"/>
      <c r="O83" s="444"/>
      <c r="P83" s="425" t="s">
        <v>23</v>
      </c>
      <c r="Q83" s="93">
        <v>1003</v>
      </c>
      <c r="R83" s="94">
        <v>0.84</v>
      </c>
      <c r="S83" s="94">
        <v>1.04</v>
      </c>
      <c r="T83" s="94">
        <v>0.93</v>
      </c>
      <c r="U83" s="94">
        <v>1.04</v>
      </c>
    </row>
    <row r="84" spans="1:21" s="94" customFormat="1">
      <c r="A84" s="433" t="s">
        <v>65</v>
      </c>
      <c r="B84" s="486" t="str">
        <f>Text!A189</f>
        <v>Tracteur, 50 kW, roues jumelées</v>
      </c>
      <c r="C84" s="432"/>
      <c r="D84" s="432" t="s">
        <v>66</v>
      </c>
      <c r="E84" s="116">
        <f>E83+$E$103</f>
        <v>18.09</v>
      </c>
      <c r="F84" s="445">
        <f>F83+F$103</f>
        <v>19.34842328042328</v>
      </c>
      <c r="G84" s="116">
        <f>G83+$G$103</f>
        <v>41.6</v>
      </c>
      <c r="H84" s="127"/>
      <c r="I84" s="480"/>
      <c r="J84" s="444"/>
      <c r="K84" s="481"/>
      <c r="L84" s="447"/>
      <c r="M84" s="447"/>
      <c r="N84" s="447"/>
      <c r="O84" s="444"/>
      <c r="P84" s="425" t="s">
        <v>23</v>
      </c>
      <c r="Q84" s="93" t="s">
        <v>65</v>
      </c>
    </row>
    <row r="85" spans="1:21" s="94" customFormat="1">
      <c r="A85" s="433">
        <v>1004</v>
      </c>
      <c r="B85" s="486" t="str">
        <f>Text!A190</f>
        <v>Tracteur 55-64 kW  (74-87 ch)</v>
      </c>
      <c r="C85" s="432"/>
      <c r="D85" s="432">
        <v>4</v>
      </c>
      <c r="E85" s="115">
        <v>18.899999999999999</v>
      </c>
      <c r="F85" s="444">
        <v>18.224</v>
      </c>
      <c r="G85" s="115">
        <v>41</v>
      </c>
      <c r="H85" s="126"/>
      <c r="I85" s="480"/>
      <c r="J85" s="444"/>
      <c r="K85" s="481"/>
      <c r="L85" s="447"/>
      <c r="M85" s="447"/>
      <c r="N85" s="447"/>
      <c r="O85" s="444"/>
      <c r="P85" s="425"/>
      <c r="Q85" s="93">
        <v>1004</v>
      </c>
    </row>
    <row r="86" spans="1:21" s="94" customFormat="1">
      <c r="A86" s="433" t="s">
        <v>67</v>
      </c>
      <c r="B86" s="486" t="str">
        <f>Text!A191</f>
        <v>Tracteur, 60 kW, roues jumelées</v>
      </c>
      <c r="C86" s="432"/>
      <c r="D86" s="432" t="s">
        <v>68</v>
      </c>
      <c r="E86" s="116">
        <f>E85+$E$103</f>
        <v>20.88</v>
      </c>
      <c r="F86" s="445">
        <f>F85+F$103</f>
        <v>22.293851851851851</v>
      </c>
      <c r="G86" s="116">
        <f>G85+$G$103</f>
        <v>47.6</v>
      </c>
      <c r="H86" s="127"/>
      <c r="I86" s="480"/>
      <c r="J86" s="444"/>
      <c r="K86" s="481"/>
      <c r="L86" s="447"/>
      <c r="M86" s="447"/>
      <c r="N86" s="447"/>
      <c r="O86" s="444"/>
      <c r="P86" s="425"/>
      <c r="Q86" s="93" t="s">
        <v>67</v>
      </c>
    </row>
    <row r="87" spans="1:21" s="94" customFormat="1">
      <c r="A87" s="433">
        <v>1005</v>
      </c>
      <c r="B87" s="486" t="str">
        <f>Text!A192</f>
        <v>Tracteur 65-74 kW  (88-101 ch)</v>
      </c>
      <c r="C87" s="432"/>
      <c r="D87" s="432">
        <v>5</v>
      </c>
      <c r="E87" s="115">
        <v>21.5</v>
      </c>
      <c r="F87" s="444">
        <v>18.286222222222221</v>
      </c>
      <c r="G87" s="115">
        <v>44</v>
      </c>
      <c r="H87" s="126"/>
      <c r="I87" s="480"/>
      <c r="J87" s="444"/>
      <c r="K87" s="481"/>
      <c r="L87" s="447"/>
      <c r="M87" s="447"/>
      <c r="N87" s="447"/>
      <c r="O87" s="444"/>
      <c r="P87" s="425" t="s">
        <v>23</v>
      </c>
      <c r="Q87" s="93">
        <v>1005</v>
      </c>
    </row>
    <row r="88" spans="1:21" s="94" customFormat="1">
      <c r="A88" s="433" t="s">
        <v>69</v>
      </c>
      <c r="B88" s="486" t="str">
        <f>Text!A193</f>
        <v>Tracteur, 70 kW, roues jumelées</v>
      </c>
      <c r="C88" s="432"/>
      <c r="D88" s="432" t="s">
        <v>70</v>
      </c>
      <c r="E88" s="116">
        <f>E87+$E$104</f>
        <v>23.54</v>
      </c>
      <c r="F88" s="445">
        <f>F87+$F$104</f>
        <v>22.888518518518516</v>
      </c>
      <c r="G88" s="116">
        <f>G87+$G$104</f>
        <v>51.3</v>
      </c>
      <c r="H88" s="127"/>
      <c r="I88" s="480"/>
      <c r="J88" s="444"/>
      <c r="K88" s="481"/>
      <c r="L88" s="447"/>
      <c r="M88" s="447"/>
      <c r="N88" s="447"/>
      <c r="O88" s="444"/>
      <c r="P88" s="425" t="s">
        <v>23</v>
      </c>
      <c r="Q88" s="93" t="s">
        <v>69</v>
      </c>
    </row>
    <row r="89" spans="1:21" s="94" customFormat="1">
      <c r="A89" s="430">
        <v>1006</v>
      </c>
      <c r="B89" s="485" t="str">
        <f>Text!A194</f>
        <v>Tracteur 75-89 kW  (102-121 ch)</v>
      </c>
      <c r="C89" s="432"/>
      <c r="D89" s="432">
        <v>6</v>
      </c>
      <c r="E89" s="115">
        <v>25.16</v>
      </c>
      <c r="F89" s="444">
        <v>20.135200000000001</v>
      </c>
      <c r="G89" s="115">
        <v>50</v>
      </c>
      <c r="H89" s="126"/>
      <c r="I89" s="480"/>
      <c r="J89" s="444"/>
      <c r="K89" s="481"/>
      <c r="L89" s="447"/>
      <c r="M89" s="447"/>
      <c r="N89" s="447"/>
      <c r="O89" s="444"/>
      <c r="P89" s="425" t="s">
        <v>23</v>
      </c>
      <c r="Q89" s="93">
        <v>1006</v>
      </c>
    </row>
    <row r="90" spans="1:21" s="94" customFormat="1">
      <c r="A90" s="430" t="s">
        <v>71</v>
      </c>
      <c r="B90" s="485" t="str">
        <f>Text!A195</f>
        <v>Tracteur, 82 kW, roues jumelées</v>
      </c>
      <c r="C90" s="432"/>
      <c r="D90" s="432" t="s">
        <v>72</v>
      </c>
      <c r="E90" s="116">
        <f>E89+$E$104</f>
        <v>27.2</v>
      </c>
      <c r="F90" s="445">
        <f>F89+$F$104</f>
        <v>24.7374962962963</v>
      </c>
      <c r="G90" s="116">
        <f>G89+$G$104</f>
        <v>57.3</v>
      </c>
      <c r="H90" s="127"/>
      <c r="I90" s="480"/>
      <c r="J90" s="444"/>
      <c r="K90" s="481"/>
      <c r="L90" s="447"/>
      <c r="M90" s="447"/>
      <c r="N90" s="447"/>
      <c r="O90" s="444"/>
      <c r="P90" s="425" t="s">
        <v>23</v>
      </c>
      <c r="Q90" s="93" t="s">
        <v>71</v>
      </c>
    </row>
    <row r="91" spans="1:21" s="94" customFormat="1">
      <c r="A91" s="430">
        <v>1010</v>
      </c>
      <c r="B91" s="485" t="str">
        <f>Text!A196</f>
        <v>Tracteur  90-104 kW  (122-142 ch)</v>
      </c>
      <c r="C91" s="432"/>
      <c r="D91" s="432">
        <v>7</v>
      </c>
      <c r="E91" s="115">
        <v>30.65</v>
      </c>
      <c r="F91" s="444">
        <v>26.102400000000003</v>
      </c>
      <c r="G91" s="115">
        <v>62</v>
      </c>
      <c r="H91" s="126"/>
      <c r="I91" s="480"/>
      <c r="J91" s="444"/>
      <c r="K91" s="481"/>
      <c r="L91" s="447"/>
      <c r="M91" s="447"/>
      <c r="N91" s="447"/>
      <c r="O91" s="444"/>
      <c r="P91" s="425"/>
      <c r="Q91" s="93">
        <v>1010</v>
      </c>
    </row>
    <row r="92" spans="1:21" s="94" customFormat="1">
      <c r="A92" s="430">
        <v>1011</v>
      </c>
      <c r="B92" s="485" t="str">
        <f>Text!A197</f>
        <v>Tracteur 105-124 kW  (143-169 ch)</v>
      </c>
      <c r="C92" s="432"/>
      <c r="D92" s="432">
        <v>8</v>
      </c>
      <c r="E92" s="115">
        <v>36.381913302752295</v>
      </c>
      <c r="F92" s="444">
        <v>27.693090909090909</v>
      </c>
      <c r="G92" s="115">
        <v>70</v>
      </c>
      <c r="H92" s="126"/>
      <c r="I92" s="480"/>
      <c r="J92" s="444"/>
      <c r="K92" s="481"/>
      <c r="L92" s="447"/>
      <c r="M92" s="447"/>
      <c r="N92" s="447"/>
      <c r="O92" s="444"/>
      <c r="P92" s="425" t="s">
        <v>23</v>
      </c>
      <c r="Q92" s="93">
        <v>1011</v>
      </c>
    </row>
    <row r="93" spans="1:21" s="94" customFormat="1">
      <c r="A93" s="430">
        <v>1012</v>
      </c>
      <c r="B93" s="485" t="str">
        <f>Text!A198</f>
        <v>Tracteur 125-149 kW  (171-203 ch)</v>
      </c>
      <c r="C93" s="432"/>
      <c r="D93" s="432">
        <v>9</v>
      </c>
      <c r="E93" s="115">
        <v>43.622105412844036</v>
      </c>
      <c r="F93" s="444">
        <v>33.393454545454546</v>
      </c>
      <c r="G93" s="115">
        <v>85</v>
      </c>
      <c r="H93" s="126"/>
      <c r="I93" s="480"/>
      <c r="J93" s="444"/>
      <c r="K93" s="481"/>
      <c r="L93" s="447"/>
      <c r="M93" s="447"/>
      <c r="N93" s="447"/>
      <c r="O93" s="444"/>
      <c r="P93" s="425" t="s">
        <v>23</v>
      </c>
      <c r="Q93" s="93">
        <v>1012</v>
      </c>
    </row>
    <row r="94" spans="1:21" s="94" customFormat="1">
      <c r="A94" s="430">
        <v>1013</v>
      </c>
      <c r="B94" s="485" t="str">
        <f>Text!A199</f>
        <v>Tracteur 150-199 kW  (204-271 ch)</v>
      </c>
      <c r="C94" s="432"/>
      <c r="D94" s="432">
        <v>10</v>
      </c>
      <c r="E94" s="115">
        <v>54.888346330275226</v>
      </c>
      <c r="F94" s="444">
        <v>39.017777777777781</v>
      </c>
      <c r="G94" s="115">
        <v>103</v>
      </c>
      <c r="H94" s="126"/>
      <c r="I94" s="480"/>
      <c r="J94" s="444"/>
      <c r="K94" s="481"/>
      <c r="L94" s="447"/>
      <c r="M94" s="447"/>
      <c r="N94" s="447"/>
      <c r="O94" s="444"/>
      <c r="P94" s="425" t="s">
        <v>23</v>
      </c>
      <c r="Q94" s="93">
        <v>1013</v>
      </c>
    </row>
    <row r="95" spans="1:21" s="94" customFormat="1">
      <c r="A95" s="430">
        <v>1014</v>
      </c>
      <c r="B95" s="485" t="str">
        <f>Text!A200</f>
        <v>Tracteur 200-250 kW  (272-340 ch)</v>
      </c>
      <c r="C95" s="432"/>
      <c r="D95" s="432">
        <v>11</v>
      </c>
      <c r="E95" s="115">
        <v>70.062873853211016</v>
      </c>
      <c r="F95" s="444">
        <v>47.690555555555555</v>
      </c>
      <c r="G95" s="115">
        <v>130</v>
      </c>
      <c r="H95" s="126"/>
      <c r="I95" s="480"/>
      <c r="J95" s="444"/>
      <c r="K95" s="481"/>
      <c r="L95" s="447"/>
      <c r="M95" s="447"/>
      <c r="N95" s="447"/>
      <c r="O95" s="444"/>
      <c r="P95" s="425" t="s">
        <v>23</v>
      </c>
      <c r="Q95" s="93">
        <v>1014</v>
      </c>
    </row>
    <row r="96" spans="1:21" s="94" customFormat="1">
      <c r="A96" s="433">
        <v>1043</v>
      </c>
      <c r="B96" s="486" t="str">
        <f>Text!A201</f>
        <v>Tracteur étroit, 4 roues, 30 kW</v>
      </c>
      <c r="C96" s="432"/>
      <c r="D96" s="432">
        <v>9</v>
      </c>
      <c r="E96" s="115">
        <v>12.424999999999999</v>
      </c>
      <c r="F96" s="445"/>
      <c r="G96" s="115">
        <v>34</v>
      </c>
      <c r="H96" s="126"/>
      <c r="I96" s="480"/>
      <c r="J96" s="444"/>
      <c r="K96" s="481"/>
      <c r="L96" s="447"/>
      <c r="M96" s="447"/>
      <c r="N96" s="447"/>
      <c r="O96" s="444"/>
      <c r="P96" s="425" t="s">
        <v>23</v>
      </c>
      <c r="Q96" s="93">
        <v>1043</v>
      </c>
    </row>
    <row r="97" spans="1:25" s="94" customFormat="1">
      <c r="A97" s="433">
        <v>1044</v>
      </c>
      <c r="B97" s="486" t="str">
        <f>Text!A202</f>
        <v>Tracteur étroit, 4 roues, 45 kW</v>
      </c>
      <c r="C97" s="432"/>
      <c r="D97" s="432">
        <v>10</v>
      </c>
      <c r="E97" s="115">
        <v>17.040000000000003</v>
      </c>
      <c r="F97" s="445"/>
      <c r="G97" s="115">
        <v>40</v>
      </c>
      <c r="H97" s="126"/>
      <c r="I97" s="480"/>
      <c r="J97" s="444"/>
      <c r="K97" s="481"/>
      <c r="L97" s="447"/>
      <c r="M97" s="447"/>
      <c r="N97" s="447"/>
      <c r="O97" s="444"/>
      <c r="P97" s="425" t="s">
        <v>23</v>
      </c>
      <c r="Q97" s="93">
        <v>1044</v>
      </c>
    </row>
    <row r="98" spans="1:25" s="94" customFormat="1">
      <c r="A98" s="430">
        <v>1045</v>
      </c>
      <c r="B98" s="485" t="str">
        <f>Text!A203</f>
        <v>Tracteur étroit, 4 roues, 55 kW</v>
      </c>
      <c r="C98" s="432"/>
      <c r="D98" s="432">
        <v>11</v>
      </c>
      <c r="E98" s="115">
        <v>19.925000000000001</v>
      </c>
      <c r="F98" s="445"/>
      <c r="G98" s="115">
        <v>50</v>
      </c>
      <c r="H98" s="126"/>
      <c r="I98" s="480"/>
      <c r="J98" s="444"/>
      <c r="K98" s="481"/>
      <c r="L98" s="447"/>
      <c r="M98" s="447"/>
      <c r="N98" s="447"/>
      <c r="O98" s="444"/>
      <c r="P98" s="425" t="s">
        <v>23</v>
      </c>
      <c r="Q98" s="93">
        <v>1045</v>
      </c>
    </row>
    <row r="99" spans="1:25" s="94" customFormat="1">
      <c r="A99" s="430">
        <v>1061</v>
      </c>
      <c r="B99" s="485" t="str">
        <f>Text!A204</f>
        <v>Chenillette, avec dispositif de levage, 44 kW</v>
      </c>
      <c r="C99" s="432"/>
      <c r="D99" s="432">
        <v>12</v>
      </c>
      <c r="E99" s="115">
        <v>22.083500000000001</v>
      </c>
      <c r="F99" s="445"/>
      <c r="G99" s="115">
        <v>60</v>
      </c>
      <c r="H99" s="126"/>
      <c r="I99" s="480"/>
      <c r="J99" s="444"/>
      <c r="K99" s="481"/>
      <c r="L99" s="447"/>
      <c r="M99" s="447"/>
      <c r="N99" s="447"/>
      <c r="O99" s="444"/>
      <c r="P99" s="425" t="s">
        <v>23</v>
      </c>
      <c r="Q99" s="93">
        <v>1061</v>
      </c>
    </row>
    <row r="100" spans="1:25" s="94" customFormat="1" ht="11.25" customHeight="1">
      <c r="A100" s="430">
        <v>1051</v>
      </c>
      <c r="B100" s="485" t="str">
        <f>Text!A205</f>
        <v>Tracteur articulé, 40 kW</v>
      </c>
      <c r="C100" s="432"/>
      <c r="D100" s="432">
        <v>13</v>
      </c>
      <c r="E100" s="115">
        <v>16.484999999999999</v>
      </c>
      <c r="F100" s="445"/>
      <c r="G100" s="115">
        <v>47</v>
      </c>
      <c r="H100" s="126"/>
      <c r="I100" s="480"/>
      <c r="J100" s="444"/>
      <c r="K100" s="481"/>
      <c r="L100" s="447"/>
      <c r="M100" s="447"/>
      <c r="N100" s="447"/>
      <c r="O100" s="444"/>
      <c r="P100" s="425" t="s">
        <v>23</v>
      </c>
      <c r="Q100" s="93">
        <v>1051</v>
      </c>
    </row>
    <row r="101" spans="1:25" s="94" customFormat="1">
      <c r="A101" s="433">
        <v>1059</v>
      </c>
      <c r="B101" s="486" t="str">
        <f>Text!A206</f>
        <v>Chenillette, 18 kW</v>
      </c>
      <c r="C101" s="432"/>
      <c r="D101" s="432">
        <v>14</v>
      </c>
      <c r="E101" s="115">
        <v>15.629999999999999</v>
      </c>
      <c r="F101" s="445"/>
      <c r="G101" s="115">
        <v>37</v>
      </c>
      <c r="H101" s="126"/>
      <c r="I101" s="480"/>
      <c r="J101" s="444"/>
      <c r="K101" s="481"/>
      <c r="L101" s="447"/>
      <c r="M101" s="447"/>
      <c r="N101" s="447"/>
      <c r="O101" s="444"/>
      <c r="P101" s="425" t="s">
        <v>23</v>
      </c>
      <c r="Q101" s="93">
        <v>1059</v>
      </c>
    </row>
    <row r="102" spans="1:25" s="94" customFormat="1">
      <c r="A102" s="433"/>
      <c r="B102" s="486" t="str">
        <f>Text!A207</f>
        <v>Pas de tracteur, uniquement trav. manuel (mettre 0)</v>
      </c>
      <c r="C102" s="432"/>
      <c r="D102" s="432" t="s">
        <v>53</v>
      </c>
      <c r="E102" s="445"/>
      <c r="F102" s="445"/>
      <c r="G102" s="445"/>
      <c r="H102" s="490"/>
      <c r="I102" s="480"/>
      <c r="J102" s="444"/>
      <c r="K102" s="481"/>
      <c r="L102" s="447"/>
      <c r="M102" s="447"/>
      <c r="N102" s="447"/>
      <c r="O102" s="444"/>
      <c r="P102" s="425"/>
    </row>
    <row r="103" spans="1:25" s="94" customFormat="1">
      <c r="A103" s="433" t="s">
        <v>73</v>
      </c>
      <c r="B103" s="486" t="str">
        <f>Text!A208</f>
        <v>Roues jumelées, avant et arrière, &lt;64 kW</v>
      </c>
      <c r="C103" s="432"/>
      <c r="D103" s="432" t="s">
        <v>74</v>
      </c>
      <c r="E103" s="115">
        <f>0.88+1.1</f>
        <v>1.98</v>
      </c>
      <c r="F103" s="445">
        <v>4.0698518518518521</v>
      </c>
      <c r="G103" s="115">
        <f>2.6+4</f>
        <v>6.6</v>
      </c>
      <c r="H103" s="126"/>
      <c r="I103" s="480"/>
      <c r="J103" s="444"/>
      <c r="K103" s="481"/>
      <c r="L103" s="447"/>
      <c r="M103" s="447"/>
      <c r="N103" s="447"/>
      <c r="O103" s="444"/>
      <c r="P103" s="425" t="s">
        <v>23</v>
      </c>
      <c r="Q103" s="93" t="s">
        <v>73</v>
      </c>
    </row>
    <row r="104" spans="1:25" s="94" customFormat="1">
      <c r="A104" s="487" t="s">
        <v>75</v>
      </c>
      <c r="B104" s="488" t="str">
        <f>Text!A209</f>
        <v>Roues jumelées, avant et arrière, &gt;65 kW</v>
      </c>
      <c r="C104" s="442"/>
      <c r="D104" s="442" t="s">
        <v>74</v>
      </c>
      <c r="E104" s="117">
        <f>0.98+1.06</f>
        <v>2.04</v>
      </c>
      <c r="F104" s="489">
        <v>4.6022962962962968</v>
      </c>
      <c r="G104" s="117">
        <f>3.3+4</f>
        <v>7.3</v>
      </c>
      <c r="H104" s="126"/>
      <c r="I104" s="480"/>
      <c r="J104" s="444"/>
      <c r="K104" s="481"/>
      <c r="L104" s="447"/>
      <c r="M104" s="447"/>
      <c r="N104" s="447"/>
      <c r="O104" s="444"/>
      <c r="P104" s="425" t="s">
        <v>23</v>
      </c>
      <c r="Q104" s="93" t="s">
        <v>75</v>
      </c>
    </row>
    <row r="105" spans="1:25" s="94" customFormat="1" ht="15" customHeight="1">
      <c r="A105" s="427">
        <v>0</v>
      </c>
      <c r="B105" s="440"/>
      <c r="C105" s="427"/>
      <c r="D105" s="427"/>
      <c r="E105" s="427"/>
      <c r="F105" s="427"/>
      <c r="G105" s="427"/>
      <c r="H105" s="427"/>
      <c r="I105" s="444"/>
      <c r="J105" s="444"/>
      <c r="K105" s="481"/>
      <c r="L105" s="447"/>
      <c r="M105" s="447"/>
      <c r="N105" s="447"/>
      <c r="O105" s="444"/>
      <c r="P105" s="427"/>
    </row>
    <row r="106" spans="1:25" s="94" customFormat="1">
      <c r="A106" s="425"/>
      <c r="B106" s="440" t="str">
        <f>Text!A210</f>
        <v>Tarif horaire travaux pour tâcherons</v>
      </c>
      <c r="C106" s="492" t="s">
        <v>76</v>
      </c>
      <c r="D106" s="491"/>
      <c r="E106" s="118">
        <v>30</v>
      </c>
      <c r="F106" s="491"/>
      <c r="G106" s="491"/>
      <c r="H106" s="491"/>
      <c r="I106" s="444"/>
      <c r="J106" s="444"/>
      <c r="K106" s="481"/>
      <c r="L106" s="447"/>
      <c r="M106" s="447"/>
      <c r="N106" s="447"/>
      <c r="O106" s="444"/>
      <c r="P106" s="427"/>
    </row>
    <row r="107" spans="1:25" s="94" customFormat="1">
      <c r="A107" s="425">
        <v>0</v>
      </c>
      <c r="B107" s="440" t="str">
        <f>Text!A211</f>
        <v>Tarif horaire travaux pour tiers</v>
      </c>
      <c r="C107" s="492" t="s">
        <v>76</v>
      </c>
      <c r="D107" s="491"/>
      <c r="E107" s="118">
        <v>52</v>
      </c>
      <c r="F107" s="491"/>
      <c r="G107" s="491"/>
      <c r="H107" s="491"/>
      <c r="I107" s="444"/>
      <c r="J107" s="444"/>
      <c r="K107" s="481"/>
      <c r="L107" s="447"/>
      <c r="M107" s="447"/>
      <c r="N107" s="447"/>
      <c r="O107" s="444"/>
      <c r="P107" s="427"/>
      <c r="Q107" s="94">
        <f>(47+57)/2</f>
        <v>52</v>
      </c>
      <c r="R107" s="93" t="s">
        <v>77</v>
      </c>
    </row>
    <row r="108" spans="1:25" s="94" customFormat="1" ht="12" customHeight="1">
      <c r="A108" s="425"/>
      <c r="B108" s="440" t="str">
        <f>Text!A212</f>
        <v>Tous les travaux par tiers sont calculés sans frais de personnel supplémentaire</v>
      </c>
      <c r="C108" s="493"/>
      <c r="D108" s="494"/>
      <c r="E108" s="494"/>
      <c r="F108" s="494"/>
      <c r="G108" s="494"/>
      <c r="H108" s="494"/>
      <c r="I108" s="482"/>
      <c r="J108" s="483"/>
      <c r="K108" s="484"/>
      <c r="L108" s="484"/>
      <c r="M108" s="484"/>
      <c r="N108" s="482"/>
      <c r="O108" s="482"/>
      <c r="P108" s="405"/>
      <c r="Q108" s="113"/>
      <c r="R108" s="113"/>
      <c r="S108" s="113"/>
      <c r="T108" s="113"/>
      <c r="U108" s="113"/>
      <c r="V108" s="113"/>
      <c r="W108" s="113"/>
      <c r="X108" s="113"/>
      <c r="Y108" s="113"/>
    </row>
    <row r="109" spans="1:25" s="94" customFormat="1" ht="12" customHeight="1">
      <c r="A109" s="425"/>
      <c r="B109" s="495" t="str">
        <f>Text!A213</f>
        <v>en italique = salaire calculé</v>
      </c>
      <c r="C109" s="494"/>
      <c r="D109" s="494"/>
      <c r="E109" s="494"/>
      <c r="F109" s="494"/>
      <c r="G109" s="494"/>
      <c r="H109" s="494"/>
      <c r="I109" s="427"/>
      <c r="J109" s="477"/>
      <c r="K109" s="478"/>
      <c r="L109" s="478"/>
      <c r="M109" s="478"/>
      <c r="N109" s="427"/>
      <c r="O109" s="427"/>
      <c r="P109" s="405"/>
      <c r="Q109" s="113"/>
      <c r="R109" s="113"/>
      <c r="S109" s="113"/>
      <c r="T109" s="113"/>
      <c r="U109" s="113"/>
      <c r="V109" s="113"/>
      <c r="W109" s="113"/>
      <c r="X109" s="113"/>
      <c r="Y109" s="113"/>
    </row>
    <row r="110" spans="1:25" ht="12" customHeight="1">
      <c r="B110" s="496"/>
      <c r="C110" s="494"/>
      <c r="D110" s="494"/>
      <c r="E110" s="494"/>
      <c r="F110" s="494"/>
      <c r="G110" s="494"/>
      <c r="H110" s="494"/>
      <c r="J110" s="477"/>
      <c r="K110" s="478"/>
      <c r="N110" s="427"/>
      <c r="P110" s="405"/>
      <c r="Q110" s="494"/>
      <c r="R110" s="494"/>
      <c r="S110" s="494"/>
      <c r="T110" s="494"/>
      <c r="U110" s="494"/>
      <c r="V110" s="494"/>
      <c r="W110" s="494"/>
      <c r="X110" s="494"/>
      <c r="Y110" s="494"/>
    </row>
  </sheetData>
  <phoneticPr fontId="33" type="noConversion"/>
  <printOptions horizontalCentered="1"/>
  <pageMargins left="0.19685039370078741" right="0.19685039370078741" top="0.39370078740157483" bottom="0.51181102362204722" header="0.19685039370078741" footer="0.19685039370078741"/>
  <pageSetup paperSize="9" fitToHeight="0" pageOrder="overThenDown" orientation="portrait" useFirstPageNumber="1" r:id="rId1"/>
  <headerFooter alignWithMargins="0">
    <oddFooter>&amp;L&amp;"Frutiger 45,Standard"AGRIDEA, Deckungsbeiträge 2024&amp;C&amp;"Frutiger 45,Standard"&amp;P&amp;R&amp;"Frutiger 45,Standard"Anhang</oddFooter>
  </headerFooter>
  <rowBreaks count="1" manualBreakCount="1">
    <brk id="74" max="15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193B2-6F54-432C-9FA2-1F1946C9A9A6}">
  <sheetPr codeName="Feuil4"/>
  <dimension ref="A2:B10"/>
  <sheetViews>
    <sheetView workbookViewId="0">
      <selection activeCell="A11" sqref="A11"/>
    </sheetView>
  </sheetViews>
  <sheetFormatPr baseColWidth="10" defaultColWidth="11.44140625" defaultRowHeight="13.2"/>
  <cols>
    <col min="1" max="1" width="14.5546875" bestFit="1" customWidth="1"/>
  </cols>
  <sheetData>
    <row r="2" spans="1:2">
      <c r="A2" t="str">
        <f>Text!A109</f>
        <v>Propriété</v>
      </c>
      <c r="B2" t="str">
        <f>Text!A106</f>
        <v>P</v>
      </c>
    </row>
    <row r="3" spans="1:2">
      <c r="A3" t="str">
        <f>Text!A110</f>
        <v>Location</v>
      </c>
      <c r="B3" t="str">
        <f>Text!A107</f>
        <v>L</v>
      </c>
    </row>
    <row r="4" spans="1:2">
      <c r="A4" t="str">
        <f>Text!A111</f>
        <v>Entreprise</v>
      </c>
      <c r="B4" t="str">
        <f>Text!A108</f>
        <v>E</v>
      </c>
    </row>
    <row r="7" spans="1:2">
      <c r="A7" t="s">
        <v>78</v>
      </c>
      <c r="B7" t="e" vm="2">
        <v>#VALUE!</v>
      </c>
    </row>
    <row r="8" spans="1:2">
      <c r="A8" t="s">
        <v>0</v>
      </c>
      <c r="B8" t="e" vm="3">
        <v>#VALUE!</v>
      </c>
    </row>
    <row r="10" spans="1:2">
      <c r="A10" s="133" t="s">
        <v>565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AF6DB-221D-4434-979D-83FB0789C6BC}">
  <sheetPr codeName="Tabelle37">
    <tabColor theme="9" tint="0.79998168889431442"/>
  </sheetPr>
  <dimension ref="A1:R95"/>
  <sheetViews>
    <sheetView workbookViewId="0"/>
  </sheetViews>
  <sheetFormatPr baseColWidth="10" defaultColWidth="6.77734375" defaultRowHeight="13.2"/>
  <cols>
    <col min="1" max="16384" width="6.77734375" style="1"/>
  </cols>
  <sheetData>
    <row r="1" spans="1:18" s="503" customFormat="1" ht="47.1" customHeight="1">
      <c r="A1" s="503" t="str">
        <f>Text!A235</f>
        <v>Informations et questions sur l'exploitation</v>
      </c>
    </row>
    <row r="2" spans="1:18" ht="15.6">
      <c r="A2" s="505" t="str">
        <f>Text!A236</f>
        <v>Tableau de bord de l'exploitation</v>
      </c>
    </row>
    <row r="4" spans="1:18">
      <c r="A4" s="504" t="str">
        <f>Text!A237</f>
        <v>Production animale</v>
      </c>
    </row>
    <row r="5" spans="1:18" s="506" customFormat="1">
      <c r="A5" s="507"/>
      <c r="B5" s="507"/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</row>
    <row r="6" spans="1:18" s="506" customFormat="1">
      <c r="A6" s="507"/>
      <c r="B6" s="507"/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  <c r="O6" s="507"/>
      <c r="P6" s="507"/>
      <c r="Q6" s="507"/>
      <c r="R6" s="507"/>
    </row>
    <row r="7" spans="1:18" s="506" customFormat="1">
      <c r="A7" s="507"/>
      <c r="B7" s="507"/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7"/>
      <c r="R7" s="507"/>
    </row>
    <row r="8" spans="1:18" s="506" customFormat="1"/>
    <row r="9" spans="1:18" s="504" customFormat="1">
      <c r="A9" s="504" t="str">
        <f>Text!A238</f>
        <v>autres branches d'exploitation</v>
      </c>
    </row>
    <row r="10" spans="1:18" s="506" customFormat="1">
      <c r="A10" s="507"/>
      <c r="B10" s="507"/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  <c r="P10" s="507"/>
      <c r="Q10" s="507"/>
      <c r="R10" s="507"/>
    </row>
    <row r="11" spans="1:18" s="506" customFormat="1">
      <c r="A11" s="507"/>
      <c r="B11" s="507"/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  <c r="O11" s="507"/>
      <c r="P11" s="507"/>
      <c r="Q11" s="507"/>
      <c r="R11" s="507"/>
    </row>
    <row r="12" spans="1:18" s="506" customFormat="1">
      <c r="A12" s="507"/>
      <c r="B12" s="507"/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  <c r="O12" s="507"/>
      <c r="P12" s="507"/>
      <c r="Q12" s="507"/>
      <c r="R12" s="507"/>
    </row>
    <row r="13" spans="1:18" s="506" customFormat="1"/>
    <row r="14" spans="1:18">
      <c r="A14" s="504" t="str">
        <f>Text!A239</f>
        <v>Surface</v>
      </c>
    </row>
    <row r="15" spans="1:18" s="506" customFormat="1">
      <c r="A15" s="507"/>
      <c r="B15" s="507" t="s">
        <v>22</v>
      </c>
    </row>
    <row r="17" spans="1:9">
      <c r="A17" s="508" t="str">
        <f>Text!A240</f>
        <v>Cultures</v>
      </c>
      <c r="B17" s="509"/>
      <c r="C17" s="509"/>
      <c r="D17" s="509"/>
      <c r="E17" s="509"/>
      <c r="F17" s="509"/>
      <c r="G17" s="509"/>
      <c r="H17" s="509"/>
      <c r="I17" s="510" t="s">
        <v>22</v>
      </c>
    </row>
    <row r="18" spans="1:9">
      <c r="A18" s="507"/>
      <c r="B18" s="507"/>
      <c r="C18" s="507"/>
      <c r="D18" s="507"/>
      <c r="E18" s="512"/>
      <c r="F18" s="512"/>
      <c r="G18" s="512"/>
      <c r="H18" s="512"/>
      <c r="I18" s="511"/>
    </row>
    <row r="19" spans="1:9">
      <c r="A19" s="507"/>
      <c r="B19" s="507"/>
      <c r="C19" s="507"/>
      <c r="D19" s="507"/>
      <c r="E19" s="512"/>
      <c r="F19" s="512"/>
      <c r="G19" s="512"/>
      <c r="H19" s="512"/>
      <c r="I19" s="511"/>
    </row>
    <row r="20" spans="1:9">
      <c r="A20" s="507"/>
      <c r="B20" s="507"/>
      <c r="C20" s="507"/>
      <c r="D20" s="507"/>
      <c r="E20" s="512"/>
      <c r="F20" s="512"/>
      <c r="G20" s="512"/>
      <c r="H20" s="512"/>
      <c r="I20" s="511"/>
    </row>
    <row r="21" spans="1:9">
      <c r="A21" s="507"/>
      <c r="B21" s="507"/>
      <c r="C21" s="507"/>
      <c r="D21" s="507"/>
      <c r="E21" s="512"/>
      <c r="F21" s="512"/>
      <c r="G21" s="512"/>
      <c r="H21" s="512"/>
      <c r="I21" s="511"/>
    </row>
    <row r="22" spans="1:9">
      <c r="A22" s="507"/>
      <c r="B22" s="507"/>
      <c r="C22" s="507"/>
      <c r="D22" s="507"/>
      <c r="E22" s="512"/>
      <c r="F22" s="512"/>
      <c r="G22" s="512"/>
      <c r="H22" s="512"/>
      <c r="I22" s="511"/>
    </row>
    <row r="23" spans="1:9">
      <c r="A23" s="507"/>
      <c r="B23" s="507"/>
      <c r="C23" s="507"/>
      <c r="D23" s="507"/>
      <c r="E23" s="512"/>
      <c r="F23" s="512"/>
      <c r="G23" s="512"/>
      <c r="H23" s="512"/>
      <c r="I23" s="511"/>
    </row>
    <row r="24" spans="1:9">
      <c r="A24" s="507"/>
      <c r="B24" s="507"/>
      <c r="C24" s="507"/>
      <c r="D24" s="507"/>
      <c r="E24" s="512"/>
      <c r="F24" s="512"/>
      <c r="G24" s="512"/>
      <c r="H24" s="512"/>
      <c r="I24" s="511"/>
    </row>
    <row r="25" spans="1:9">
      <c r="A25" s="507"/>
      <c r="B25" s="507"/>
      <c r="C25" s="507"/>
      <c r="D25" s="507"/>
      <c r="E25" s="512"/>
      <c r="F25" s="512"/>
      <c r="G25" s="512"/>
      <c r="H25" s="512"/>
      <c r="I25" s="511"/>
    </row>
    <row r="26" spans="1:9">
      <c r="A26" s="507"/>
      <c r="B26" s="507"/>
      <c r="C26" s="507"/>
      <c r="D26" s="507"/>
      <c r="E26" s="512"/>
      <c r="F26" s="512"/>
      <c r="G26" s="512"/>
      <c r="H26" s="512"/>
      <c r="I26" s="511"/>
    </row>
    <row r="27" spans="1:9">
      <c r="A27" s="507"/>
      <c r="B27" s="507"/>
      <c r="C27" s="507"/>
      <c r="D27" s="507"/>
      <c r="E27" s="512"/>
      <c r="F27" s="512"/>
      <c r="G27" s="512"/>
      <c r="H27" s="512"/>
      <c r="I27" s="511"/>
    </row>
    <row r="28" spans="1:9">
      <c r="A28" s="507"/>
      <c r="B28" s="507"/>
      <c r="C28" s="507"/>
      <c r="D28" s="507"/>
      <c r="E28" s="512"/>
      <c r="F28" s="512"/>
      <c r="G28" s="512"/>
      <c r="H28" s="512"/>
      <c r="I28" s="511"/>
    </row>
    <row r="29" spans="1:9">
      <c r="A29" s="507"/>
      <c r="B29" s="507"/>
      <c r="C29" s="507"/>
      <c r="D29" s="507"/>
      <c r="E29" s="512"/>
      <c r="F29" s="512"/>
      <c r="G29" s="512"/>
      <c r="H29" s="512"/>
      <c r="I29" s="511"/>
    </row>
    <row r="32" spans="1:9" ht="15.6">
      <c r="A32" s="505" t="str">
        <f>Text!A242</f>
        <v>Culture de betteraves sucrières</v>
      </c>
    </row>
    <row r="34" spans="1:9">
      <c r="A34" s="508" t="str">
        <f>Text!A243</f>
        <v xml:space="preserve">Méthode de semis </v>
      </c>
      <c r="B34" s="509"/>
      <c r="C34" s="509"/>
      <c r="D34" s="509"/>
      <c r="E34" s="509"/>
      <c r="F34" s="509"/>
      <c r="G34" s="509"/>
      <c r="H34" s="509"/>
      <c r="I34" s="510" t="s">
        <v>27</v>
      </c>
    </row>
    <row r="35" spans="1:9">
      <c r="A35" s="507" t="str">
        <f>Text!A244</f>
        <v>Semis en place</v>
      </c>
      <c r="B35" s="507"/>
      <c r="C35" s="507"/>
      <c r="D35" s="507"/>
      <c r="E35" s="512"/>
      <c r="F35" s="512"/>
      <c r="G35" s="512"/>
      <c r="H35" s="512"/>
      <c r="I35" s="511"/>
    </row>
    <row r="36" spans="1:9">
      <c r="A36" s="507" t="str">
        <f>Text!A245</f>
        <v>Semis à eclaircir</v>
      </c>
      <c r="B36" s="507"/>
      <c r="C36" s="507"/>
      <c r="D36" s="507"/>
      <c r="E36" s="512"/>
      <c r="F36" s="512"/>
      <c r="G36" s="512"/>
      <c r="H36" s="512"/>
      <c r="I36" s="511"/>
    </row>
    <row r="37" spans="1:9">
      <c r="A37" s="507" t="str">
        <f>Text!A246</f>
        <v>plantons</v>
      </c>
      <c r="B37" s="507"/>
      <c r="C37" s="507"/>
      <c r="D37" s="507"/>
      <c r="E37" s="512"/>
      <c r="F37" s="512"/>
      <c r="G37" s="512"/>
      <c r="H37" s="512"/>
      <c r="I37" s="511"/>
    </row>
    <row r="39" spans="1:9">
      <c r="A39" s="508" t="str">
        <f>Text!A247</f>
        <v>Rendement Composition</v>
      </c>
      <c r="B39" s="509"/>
      <c r="C39" s="509"/>
      <c r="D39" s="509"/>
      <c r="E39" s="509"/>
      <c r="F39" s="509"/>
      <c r="G39" s="510">
        <v>2023</v>
      </c>
      <c r="H39" s="510">
        <v>2024</v>
      </c>
      <c r="I39" s="510">
        <v>2025</v>
      </c>
    </row>
    <row r="40" spans="1:9">
      <c r="A40" s="507" t="str">
        <f>Text!A248</f>
        <v>Teneur moyenne en sucre</v>
      </c>
      <c r="B40" s="507"/>
      <c r="C40" s="507"/>
      <c r="D40" s="507"/>
      <c r="E40" s="512"/>
      <c r="F40" s="512"/>
      <c r="G40" s="511"/>
      <c r="H40" s="511"/>
      <c r="I40" s="511"/>
    </row>
    <row r="41" spans="1:9">
      <c r="A41" s="507" t="str">
        <f>Text!A249</f>
        <v>Rendement sucre</v>
      </c>
      <c r="B41" s="507"/>
      <c r="C41" s="507"/>
      <c r="D41" s="507"/>
      <c r="E41" s="512"/>
      <c r="F41" s="512"/>
      <c r="G41" s="511"/>
      <c r="H41" s="511"/>
      <c r="I41" s="511"/>
    </row>
    <row r="42" spans="1:9">
      <c r="A42" s="507" t="str">
        <f>Text!A250</f>
        <v>Eléments étrangers</v>
      </c>
      <c r="B42" s="507"/>
      <c r="C42" s="507"/>
      <c r="D42" s="507"/>
      <c r="E42" s="512"/>
      <c r="F42" s="512"/>
      <c r="G42" s="511"/>
      <c r="H42" s="511"/>
      <c r="I42" s="511"/>
    </row>
    <row r="44" spans="1:9">
      <c r="A44" s="508" t="str">
        <f>Text!A252</f>
        <v>Possibilité d'irrigation disponible</v>
      </c>
      <c r="B44" s="509"/>
      <c r="C44" s="509"/>
      <c r="D44" s="509"/>
      <c r="E44" s="509"/>
      <c r="F44" s="509"/>
      <c r="G44" s="509"/>
      <c r="H44" s="509"/>
      <c r="I44" s="510" t="s">
        <v>27</v>
      </c>
    </row>
    <row r="45" spans="1:9">
      <c r="A45" s="507" t="str">
        <f>Text!A253</f>
        <v>oui</v>
      </c>
      <c r="B45" s="507"/>
      <c r="C45" s="507"/>
      <c r="D45" s="507"/>
      <c r="E45" s="512"/>
      <c r="F45" s="512"/>
      <c r="G45" s="512"/>
      <c r="H45" s="512"/>
      <c r="I45" s="511"/>
    </row>
    <row r="46" spans="1:9">
      <c r="A46" s="507" t="str">
        <f>Text!A254</f>
        <v>non</v>
      </c>
      <c r="B46" s="507"/>
      <c r="C46" s="507"/>
      <c r="D46" s="507"/>
      <c r="E46" s="512"/>
      <c r="F46" s="512"/>
      <c r="G46" s="512"/>
      <c r="H46" s="512"/>
      <c r="I46" s="511"/>
    </row>
    <row r="48" spans="1:9">
      <c r="A48" s="508" t="str">
        <f>Text!A256</f>
        <v>Travaux de transport franco gare ou usine de betteraves sucrières</v>
      </c>
      <c r="B48" s="509"/>
      <c r="C48" s="509"/>
      <c r="D48" s="509"/>
      <c r="E48" s="509"/>
      <c r="F48" s="509"/>
      <c r="G48" s="509"/>
      <c r="H48" s="509"/>
      <c r="I48" s="510" t="s">
        <v>27</v>
      </c>
    </row>
    <row r="49" spans="1:18">
      <c r="A49" s="507" t="str">
        <f>Text!A257</f>
        <v>oui</v>
      </c>
      <c r="B49" s="507"/>
      <c r="C49" s="507"/>
      <c r="D49" s="507"/>
      <c r="E49" s="512"/>
      <c r="F49" s="512"/>
      <c r="G49" s="512"/>
      <c r="H49" s="512"/>
      <c r="I49" s="511"/>
    </row>
    <row r="50" spans="1:18">
      <c r="A50" s="507" t="str">
        <f>Text!A258</f>
        <v>non</v>
      </c>
      <c r="B50" s="507"/>
      <c r="C50" s="507"/>
      <c r="D50" s="507"/>
      <c r="E50" s="512"/>
      <c r="F50" s="512"/>
      <c r="G50" s="512"/>
      <c r="H50" s="512"/>
      <c r="I50" s="511"/>
    </row>
    <row r="52" spans="1:18">
      <c r="A52" s="508" t="str">
        <f>Text!A260</f>
        <v>Expérience en culture de betteraves sucrières</v>
      </c>
      <c r="B52" s="509"/>
      <c r="C52" s="509"/>
      <c r="D52" s="509"/>
      <c r="E52" s="509"/>
      <c r="F52" s="509"/>
      <c r="G52" s="509"/>
      <c r="H52" s="509"/>
      <c r="I52" s="510" t="str">
        <f>Text!A261</f>
        <v>Années</v>
      </c>
    </row>
    <row r="53" spans="1:18">
      <c r="A53" s="507"/>
      <c r="B53" s="507"/>
      <c r="C53" s="507"/>
      <c r="D53" s="507"/>
      <c r="E53" s="512"/>
      <c r="F53" s="512"/>
      <c r="G53" s="512"/>
      <c r="H53" s="512"/>
      <c r="I53" s="511"/>
    </row>
    <row r="55" spans="1:18">
      <c r="A55" s="508" t="str">
        <f>Text!A263</f>
        <v>Quels sont vos principaux défis/problèmes de culture ?</v>
      </c>
      <c r="B55" s="509"/>
      <c r="C55" s="509"/>
      <c r="D55" s="509"/>
      <c r="E55" s="509"/>
      <c r="F55" s="509"/>
      <c r="G55" s="509"/>
      <c r="H55" s="509"/>
      <c r="I55" s="509"/>
      <c r="J55" s="509"/>
      <c r="K55" s="509"/>
      <c r="L55" s="509"/>
      <c r="M55" s="509"/>
      <c r="N55" s="509"/>
      <c r="O55" s="509"/>
      <c r="P55" s="509"/>
      <c r="Q55" s="509"/>
      <c r="R55" s="509"/>
    </row>
    <row r="56" spans="1:18">
      <c r="A56" s="512"/>
      <c r="B56" s="512"/>
      <c r="C56" s="512"/>
      <c r="D56" s="512"/>
      <c r="E56" s="512"/>
      <c r="F56" s="512"/>
      <c r="G56" s="512"/>
      <c r="H56" s="512"/>
      <c r="I56" s="512"/>
      <c r="J56" s="512"/>
      <c r="K56" s="512"/>
      <c r="L56" s="512"/>
      <c r="M56" s="512"/>
      <c r="N56" s="512"/>
      <c r="O56" s="512"/>
      <c r="P56" s="512"/>
      <c r="Q56" s="512"/>
      <c r="R56" s="512"/>
    </row>
    <row r="57" spans="1:18">
      <c r="A57" s="512"/>
      <c r="B57" s="512"/>
      <c r="C57" s="512"/>
      <c r="D57" s="512"/>
      <c r="E57" s="512"/>
      <c r="F57" s="512"/>
      <c r="G57" s="512"/>
      <c r="H57" s="512"/>
      <c r="I57" s="512"/>
      <c r="J57" s="512"/>
      <c r="K57" s="512"/>
      <c r="L57" s="512"/>
      <c r="M57" s="512"/>
      <c r="N57" s="512"/>
      <c r="O57" s="512"/>
      <c r="P57" s="512"/>
      <c r="Q57" s="512"/>
      <c r="R57" s="512"/>
    </row>
    <row r="58" spans="1:18">
      <c r="A58" s="512"/>
      <c r="B58" s="512"/>
      <c r="C58" s="512"/>
      <c r="D58" s="512"/>
      <c r="E58" s="512"/>
      <c r="F58" s="512"/>
      <c r="G58" s="512"/>
      <c r="H58" s="512"/>
      <c r="I58" s="512"/>
      <c r="J58" s="512"/>
      <c r="K58" s="512"/>
      <c r="L58" s="512"/>
      <c r="M58" s="512"/>
      <c r="N58" s="512"/>
      <c r="O58" s="512"/>
      <c r="P58" s="512"/>
      <c r="Q58" s="512"/>
      <c r="R58" s="512"/>
    </row>
    <row r="59" spans="1:18">
      <c r="A59" s="512"/>
      <c r="B59" s="512"/>
      <c r="C59" s="512"/>
      <c r="D59" s="512"/>
      <c r="E59" s="512"/>
      <c r="F59" s="512"/>
      <c r="G59" s="512"/>
      <c r="H59" s="512"/>
      <c r="I59" s="512"/>
      <c r="J59" s="512"/>
      <c r="K59" s="512"/>
      <c r="L59" s="512"/>
      <c r="M59" s="512"/>
      <c r="N59" s="512"/>
      <c r="O59" s="512"/>
      <c r="P59" s="512"/>
      <c r="Q59" s="512"/>
      <c r="R59" s="512"/>
    </row>
    <row r="60" spans="1:18">
      <c r="A60" s="512"/>
      <c r="B60" s="512"/>
      <c r="C60" s="512"/>
      <c r="D60" s="512"/>
      <c r="E60" s="512"/>
      <c r="F60" s="512"/>
      <c r="G60" s="512"/>
      <c r="H60" s="512"/>
      <c r="I60" s="512"/>
      <c r="J60" s="512"/>
      <c r="K60" s="512"/>
      <c r="L60" s="512"/>
      <c r="M60" s="512"/>
      <c r="N60" s="512"/>
      <c r="O60" s="512"/>
      <c r="P60" s="512"/>
      <c r="Q60" s="512"/>
      <c r="R60" s="512"/>
    </row>
    <row r="62" spans="1:18">
      <c r="A62" s="508" t="str">
        <f>Text!A265</f>
        <v>Quels changements allez-vous apporter à la culture ?</v>
      </c>
      <c r="B62" s="509"/>
      <c r="C62" s="509"/>
      <c r="D62" s="509"/>
      <c r="E62" s="509"/>
      <c r="F62" s="509"/>
      <c r="G62" s="509"/>
      <c r="H62" s="509"/>
      <c r="I62" s="509"/>
      <c r="J62" s="509"/>
      <c r="K62" s="509"/>
      <c r="L62" s="509"/>
      <c r="M62" s="509"/>
      <c r="N62" s="509"/>
      <c r="O62" s="509"/>
      <c r="P62" s="509"/>
      <c r="Q62" s="509"/>
      <c r="R62" s="509"/>
    </row>
    <row r="63" spans="1:18">
      <c r="A63" s="512"/>
      <c r="B63" s="512"/>
      <c r="C63" s="512"/>
      <c r="D63" s="512"/>
      <c r="E63" s="512"/>
      <c r="F63" s="512"/>
      <c r="G63" s="512"/>
      <c r="H63" s="512"/>
      <c r="I63" s="512"/>
      <c r="J63" s="512"/>
      <c r="K63" s="512"/>
      <c r="L63" s="512"/>
      <c r="M63" s="512"/>
      <c r="N63" s="512"/>
      <c r="O63" s="512"/>
      <c r="P63" s="512"/>
      <c r="Q63" s="512"/>
      <c r="R63" s="512"/>
    </row>
    <row r="64" spans="1:18">
      <c r="A64" s="512"/>
      <c r="B64" s="512"/>
      <c r="C64" s="512"/>
      <c r="D64" s="512"/>
      <c r="E64" s="512"/>
      <c r="F64" s="512"/>
      <c r="G64" s="512"/>
      <c r="H64" s="512"/>
      <c r="I64" s="512"/>
      <c r="J64" s="512"/>
      <c r="K64" s="512"/>
      <c r="L64" s="512"/>
      <c r="M64" s="512"/>
      <c r="N64" s="512"/>
      <c r="O64" s="512"/>
      <c r="P64" s="512"/>
      <c r="Q64" s="512"/>
      <c r="R64" s="512"/>
    </row>
    <row r="65" spans="1:18">
      <c r="A65" s="512"/>
      <c r="B65" s="512"/>
      <c r="C65" s="512"/>
      <c r="D65" s="512"/>
      <c r="E65" s="512"/>
      <c r="F65" s="512"/>
      <c r="G65" s="512"/>
      <c r="H65" s="512"/>
      <c r="I65" s="512"/>
      <c r="J65" s="512"/>
      <c r="K65" s="512"/>
      <c r="L65" s="512"/>
      <c r="M65" s="512"/>
      <c r="N65" s="512"/>
      <c r="O65" s="512"/>
      <c r="P65" s="512"/>
      <c r="Q65" s="512"/>
      <c r="R65" s="512"/>
    </row>
    <row r="66" spans="1:18">
      <c r="A66" s="512"/>
      <c r="B66" s="512"/>
      <c r="C66" s="512"/>
      <c r="D66" s="512"/>
      <c r="E66" s="512"/>
      <c r="F66" s="512"/>
      <c r="G66" s="512"/>
      <c r="H66" s="512"/>
      <c r="I66" s="512"/>
      <c r="J66" s="512"/>
      <c r="K66" s="512"/>
      <c r="L66" s="512"/>
      <c r="M66" s="512"/>
      <c r="N66" s="512"/>
      <c r="O66" s="512"/>
      <c r="P66" s="512"/>
      <c r="Q66" s="512"/>
      <c r="R66" s="512"/>
    </row>
    <row r="67" spans="1:18">
      <c r="A67" s="512"/>
      <c r="B67" s="512"/>
      <c r="C67" s="512"/>
      <c r="D67" s="512"/>
      <c r="E67" s="512"/>
      <c r="F67" s="512"/>
      <c r="G67" s="512"/>
      <c r="H67" s="512"/>
      <c r="I67" s="512"/>
      <c r="J67" s="512"/>
      <c r="K67" s="512"/>
      <c r="L67" s="512"/>
      <c r="M67" s="512"/>
      <c r="N67" s="512"/>
      <c r="O67" s="512"/>
      <c r="P67" s="512"/>
      <c r="Q67" s="512"/>
      <c r="R67" s="512"/>
    </row>
    <row r="69" spans="1:18">
      <c r="A69" s="508" t="str">
        <f>Text!A267</f>
        <v>Allez-vous continuer à cultiver des betteraves sucrières dans les années à venir ?</v>
      </c>
      <c r="B69" s="509"/>
      <c r="C69" s="509"/>
      <c r="D69" s="509"/>
      <c r="E69" s="509"/>
      <c r="F69" s="509"/>
      <c r="G69" s="509"/>
      <c r="H69" s="509"/>
      <c r="I69" s="509"/>
      <c r="J69" s="509"/>
      <c r="K69" s="509"/>
      <c r="L69" s="509"/>
      <c r="M69" s="509"/>
      <c r="N69" s="509"/>
      <c r="O69" s="509"/>
      <c r="P69" s="509"/>
      <c r="Q69" s="509"/>
      <c r="R69" s="509"/>
    </row>
    <row r="70" spans="1:18">
      <c r="A70" s="512"/>
      <c r="B70" s="512"/>
      <c r="C70" s="512"/>
      <c r="D70" s="512"/>
      <c r="E70" s="512"/>
      <c r="F70" s="512"/>
      <c r="G70" s="512"/>
      <c r="H70" s="512"/>
      <c r="I70" s="512"/>
      <c r="J70" s="512"/>
      <c r="K70" s="512"/>
      <c r="L70" s="512"/>
      <c r="M70" s="512"/>
      <c r="N70" s="512"/>
      <c r="O70" s="512"/>
      <c r="P70" s="512"/>
      <c r="Q70" s="512"/>
      <c r="R70" s="512"/>
    </row>
    <row r="71" spans="1:18">
      <c r="A71" s="512"/>
      <c r="B71" s="512"/>
      <c r="C71" s="512"/>
      <c r="D71" s="512"/>
      <c r="E71" s="512"/>
      <c r="F71" s="512"/>
      <c r="G71" s="512"/>
      <c r="H71" s="512"/>
      <c r="I71" s="512"/>
      <c r="J71" s="512"/>
      <c r="K71" s="512"/>
      <c r="L71" s="512"/>
      <c r="M71" s="512"/>
      <c r="N71" s="512"/>
      <c r="O71" s="512"/>
      <c r="P71" s="512"/>
      <c r="Q71" s="512"/>
      <c r="R71" s="512"/>
    </row>
    <row r="72" spans="1:18">
      <c r="A72" s="512"/>
      <c r="B72" s="512"/>
      <c r="C72" s="512"/>
      <c r="D72" s="512"/>
      <c r="E72" s="512"/>
      <c r="F72" s="512"/>
      <c r="G72" s="512"/>
      <c r="H72" s="512"/>
      <c r="I72" s="512"/>
      <c r="J72" s="512"/>
      <c r="K72" s="512"/>
      <c r="L72" s="512"/>
      <c r="M72" s="512"/>
      <c r="N72" s="512"/>
      <c r="O72" s="512"/>
      <c r="P72" s="512"/>
      <c r="Q72" s="512"/>
      <c r="R72" s="512"/>
    </row>
    <row r="73" spans="1:18">
      <c r="A73" s="512"/>
      <c r="B73" s="512"/>
      <c r="C73" s="512"/>
      <c r="D73" s="512"/>
      <c r="E73" s="512"/>
      <c r="F73" s="512"/>
      <c r="G73" s="512"/>
      <c r="H73" s="512"/>
      <c r="I73" s="512"/>
      <c r="J73" s="512"/>
      <c r="K73" s="512"/>
      <c r="L73" s="512"/>
      <c r="M73" s="512"/>
      <c r="N73" s="512"/>
      <c r="O73" s="512"/>
      <c r="P73" s="512"/>
      <c r="Q73" s="512"/>
      <c r="R73" s="512"/>
    </row>
    <row r="74" spans="1:18">
      <c r="A74" s="512"/>
      <c r="B74" s="512"/>
      <c r="C74" s="512"/>
      <c r="D74" s="512"/>
      <c r="E74" s="512"/>
      <c r="F74" s="512"/>
      <c r="G74" s="512"/>
      <c r="H74" s="512"/>
      <c r="I74" s="512"/>
      <c r="J74" s="512"/>
      <c r="K74" s="512"/>
      <c r="L74" s="512"/>
      <c r="M74" s="512"/>
      <c r="N74" s="512"/>
      <c r="O74" s="512"/>
      <c r="P74" s="512"/>
      <c r="Q74" s="512"/>
      <c r="R74" s="512"/>
    </row>
    <row r="76" spans="1:18">
      <c r="A76" s="508" t="str">
        <f>Text!A268</f>
        <v>Où se situe pour vous le « seuil de douleur » pour abandonner la culture ?</v>
      </c>
      <c r="B76" s="509"/>
      <c r="C76" s="509"/>
      <c r="D76" s="509"/>
      <c r="E76" s="509"/>
      <c r="F76" s="509"/>
      <c r="G76" s="509"/>
      <c r="H76" s="509"/>
      <c r="I76" s="509"/>
      <c r="J76" s="509"/>
      <c r="K76" s="509"/>
      <c r="L76" s="509"/>
      <c r="M76" s="509"/>
      <c r="N76" s="509"/>
      <c r="O76" s="509"/>
      <c r="P76" s="509"/>
      <c r="Q76" s="509"/>
      <c r="R76" s="509"/>
    </row>
    <row r="77" spans="1:18">
      <c r="A77" s="512"/>
      <c r="B77" s="512"/>
      <c r="C77" s="512"/>
      <c r="D77" s="512"/>
      <c r="E77" s="512"/>
      <c r="F77" s="512"/>
      <c r="G77" s="512"/>
      <c r="H77" s="512"/>
      <c r="I77" s="512"/>
      <c r="J77" s="512"/>
      <c r="K77" s="512"/>
      <c r="L77" s="512"/>
      <c r="M77" s="512"/>
      <c r="N77" s="512"/>
      <c r="O77" s="512"/>
      <c r="P77" s="512"/>
      <c r="Q77" s="512"/>
      <c r="R77" s="512"/>
    </row>
    <row r="78" spans="1:18">
      <c r="A78" s="512"/>
      <c r="B78" s="512"/>
      <c r="C78" s="512"/>
      <c r="D78" s="512"/>
      <c r="E78" s="512"/>
      <c r="F78" s="512"/>
      <c r="G78" s="512"/>
      <c r="H78" s="512"/>
      <c r="I78" s="512"/>
      <c r="J78" s="512"/>
      <c r="K78" s="512"/>
      <c r="L78" s="512"/>
      <c r="M78" s="512"/>
      <c r="N78" s="512"/>
      <c r="O78" s="512"/>
      <c r="P78" s="512"/>
      <c r="Q78" s="512"/>
      <c r="R78" s="512"/>
    </row>
    <row r="79" spans="1:18">
      <c r="A79" s="512"/>
      <c r="B79" s="512"/>
      <c r="C79" s="512"/>
      <c r="D79" s="512"/>
      <c r="E79" s="512"/>
      <c r="F79" s="512"/>
      <c r="G79" s="512"/>
      <c r="H79" s="512"/>
      <c r="I79" s="512"/>
      <c r="J79" s="512"/>
      <c r="K79" s="512"/>
      <c r="L79" s="512"/>
      <c r="M79" s="512"/>
      <c r="N79" s="512"/>
      <c r="O79" s="512"/>
      <c r="P79" s="512"/>
      <c r="Q79" s="512"/>
      <c r="R79" s="512"/>
    </row>
    <row r="80" spans="1:18">
      <c r="A80" s="512"/>
      <c r="B80" s="512"/>
      <c r="C80" s="512"/>
      <c r="D80" s="512"/>
      <c r="E80" s="512"/>
      <c r="F80" s="512"/>
      <c r="G80" s="512"/>
      <c r="H80" s="512"/>
      <c r="I80" s="512"/>
      <c r="J80" s="512"/>
      <c r="K80" s="512"/>
      <c r="L80" s="512"/>
      <c r="M80" s="512"/>
      <c r="N80" s="512"/>
      <c r="O80" s="512"/>
      <c r="P80" s="512"/>
      <c r="Q80" s="512"/>
      <c r="R80" s="512"/>
    </row>
    <row r="81" spans="1:18">
      <c r="A81" s="512"/>
      <c r="B81" s="512"/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P81" s="512"/>
      <c r="Q81" s="512"/>
      <c r="R81" s="512"/>
    </row>
    <row r="83" spans="1:18">
      <c r="A83" s="508" t="str">
        <f>Text!A270</f>
        <v>Vos besoins du côté de la vulgarisation / de la sélection / de l'association ?</v>
      </c>
      <c r="B83" s="509"/>
      <c r="C83" s="509"/>
      <c r="D83" s="509"/>
      <c r="E83" s="509"/>
      <c r="F83" s="509"/>
      <c r="G83" s="509"/>
      <c r="H83" s="509"/>
      <c r="I83" s="509"/>
      <c r="J83" s="509"/>
      <c r="K83" s="509"/>
      <c r="L83" s="509"/>
      <c r="M83" s="509"/>
      <c r="N83" s="509"/>
      <c r="O83" s="509"/>
      <c r="P83" s="509"/>
      <c r="Q83" s="509"/>
      <c r="R83" s="509"/>
    </row>
    <row r="84" spans="1:18">
      <c r="A84" s="512"/>
      <c r="B84" s="512"/>
      <c r="C84" s="512"/>
      <c r="D84" s="512"/>
      <c r="E84" s="512"/>
      <c r="F84" s="512"/>
      <c r="G84" s="512"/>
      <c r="H84" s="512"/>
      <c r="I84" s="512"/>
      <c r="J84" s="512"/>
      <c r="K84" s="512"/>
      <c r="L84" s="512"/>
      <c r="M84" s="512"/>
      <c r="N84" s="512"/>
      <c r="O84" s="512"/>
      <c r="P84" s="512"/>
      <c r="Q84" s="512"/>
      <c r="R84" s="512"/>
    </row>
    <row r="85" spans="1:18">
      <c r="A85" s="512"/>
      <c r="B85" s="512"/>
      <c r="C85" s="512"/>
      <c r="D85" s="512"/>
      <c r="E85" s="512"/>
      <c r="F85" s="512"/>
      <c r="G85" s="512"/>
      <c r="H85" s="512"/>
      <c r="I85" s="512"/>
      <c r="J85" s="512"/>
      <c r="K85" s="512"/>
      <c r="L85" s="512"/>
      <c r="M85" s="512"/>
      <c r="N85" s="512"/>
      <c r="O85" s="512"/>
      <c r="P85" s="512"/>
      <c r="Q85" s="512"/>
      <c r="R85" s="512"/>
    </row>
    <row r="86" spans="1:18">
      <c r="A86" s="512"/>
      <c r="B86" s="512"/>
      <c r="C86" s="512"/>
      <c r="D86" s="512"/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512"/>
      <c r="P86" s="512"/>
      <c r="Q86" s="512"/>
      <c r="R86" s="512"/>
    </row>
    <row r="87" spans="1:18">
      <c r="A87" s="512"/>
      <c r="B87" s="512"/>
      <c r="C87" s="512"/>
      <c r="D87" s="512"/>
      <c r="E87" s="512"/>
      <c r="F87" s="512"/>
      <c r="G87" s="512"/>
      <c r="H87" s="512"/>
      <c r="I87" s="512"/>
      <c r="J87" s="512"/>
      <c r="K87" s="512"/>
      <c r="L87" s="512"/>
      <c r="M87" s="512"/>
      <c r="N87" s="512"/>
      <c r="O87" s="512"/>
      <c r="P87" s="512"/>
      <c r="Q87" s="512"/>
      <c r="R87" s="512"/>
    </row>
    <row r="88" spans="1:18">
      <c r="A88" s="512"/>
      <c r="B88" s="512"/>
      <c r="C88" s="512"/>
      <c r="D88" s="512"/>
      <c r="E88" s="512"/>
      <c r="F88" s="512"/>
      <c r="G88" s="512"/>
      <c r="H88" s="512"/>
      <c r="I88" s="512"/>
      <c r="J88" s="512"/>
      <c r="K88" s="512"/>
      <c r="L88" s="512"/>
      <c r="M88" s="512"/>
      <c r="N88" s="512"/>
      <c r="O88" s="512"/>
      <c r="P88" s="512"/>
      <c r="Q88" s="512"/>
      <c r="R88" s="512"/>
    </row>
    <row r="90" spans="1:18">
      <c r="A90" s="508" t="str">
        <f>Text!A272</f>
        <v>Autres remarques</v>
      </c>
      <c r="B90" s="509"/>
      <c r="C90" s="509"/>
      <c r="D90" s="509"/>
      <c r="E90" s="509"/>
      <c r="F90" s="509"/>
      <c r="G90" s="509"/>
      <c r="H90" s="509"/>
      <c r="I90" s="509"/>
      <c r="J90" s="509"/>
      <c r="K90" s="509"/>
      <c r="L90" s="509"/>
      <c r="M90" s="509"/>
      <c r="N90" s="509"/>
      <c r="O90" s="509"/>
      <c r="P90" s="509"/>
      <c r="Q90" s="509"/>
      <c r="R90" s="509"/>
    </row>
    <row r="91" spans="1:18">
      <c r="A91" s="512"/>
      <c r="B91" s="512"/>
      <c r="C91" s="512"/>
      <c r="D91" s="512"/>
      <c r="E91" s="512"/>
      <c r="F91" s="512"/>
      <c r="G91" s="512"/>
      <c r="H91" s="512"/>
      <c r="I91" s="512"/>
      <c r="J91" s="512"/>
      <c r="K91" s="512"/>
      <c r="L91" s="512"/>
      <c r="M91" s="512"/>
      <c r="N91" s="512"/>
      <c r="O91" s="512"/>
      <c r="P91" s="512"/>
      <c r="Q91" s="512"/>
      <c r="R91" s="512"/>
    </row>
    <row r="92" spans="1:18">
      <c r="A92" s="512"/>
      <c r="B92" s="512"/>
      <c r="C92" s="512"/>
      <c r="D92" s="512"/>
      <c r="E92" s="512"/>
      <c r="F92" s="512"/>
      <c r="G92" s="512"/>
      <c r="H92" s="512"/>
      <c r="I92" s="512"/>
      <c r="J92" s="512"/>
      <c r="K92" s="512"/>
      <c r="L92" s="512"/>
      <c r="M92" s="512"/>
      <c r="N92" s="512"/>
      <c r="O92" s="512"/>
      <c r="P92" s="512"/>
      <c r="Q92" s="512"/>
      <c r="R92" s="512"/>
    </row>
    <row r="93" spans="1:18">
      <c r="A93" s="512"/>
      <c r="B93" s="512"/>
      <c r="C93" s="512"/>
      <c r="D93" s="512"/>
      <c r="E93" s="512"/>
      <c r="F93" s="512"/>
      <c r="G93" s="512"/>
      <c r="H93" s="512"/>
      <c r="I93" s="512"/>
      <c r="J93" s="512"/>
      <c r="K93" s="512"/>
      <c r="L93" s="512"/>
      <c r="M93" s="512"/>
      <c r="N93" s="512"/>
      <c r="O93" s="512"/>
      <c r="P93" s="512"/>
      <c r="Q93" s="512"/>
      <c r="R93" s="512"/>
    </row>
    <row r="94" spans="1:18">
      <c r="A94" s="512"/>
      <c r="B94" s="512"/>
      <c r="C94" s="512"/>
      <c r="D94" s="512"/>
      <c r="E94" s="512"/>
      <c r="F94" s="512"/>
      <c r="G94" s="512"/>
      <c r="H94" s="512"/>
      <c r="I94" s="512"/>
      <c r="J94" s="512"/>
      <c r="K94" s="512"/>
      <c r="L94" s="512"/>
      <c r="M94" s="512"/>
      <c r="N94" s="512"/>
      <c r="O94" s="512"/>
      <c r="P94" s="512"/>
      <c r="Q94" s="512"/>
      <c r="R94" s="512"/>
    </row>
    <row r="95" spans="1:18">
      <c r="A95" s="512"/>
      <c r="B95" s="512"/>
      <c r="C95" s="512"/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</row>
  </sheetData>
  <phoneticPr fontId="0" type="noConversion"/>
  <pageMargins left="0.51181102362204722" right="0.51181102362204722" top="0.39370078740157483" bottom="0.51181102362204722" header="0.19685039370078741" footer="0.19685039370078741"/>
  <pageSetup paperSize="9" firstPageNumber="4" pageOrder="overThenDown" orientation="portrait" r:id="rId1"/>
  <headerFooter alignWithMargins="0">
    <oddFooter>&amp;L&amp;"Frutiger 45,Standard"AGRIDEA, FiBL, Deckungsbeiträge 2007&amp;R&amp;"Frutiger 45,Standard"Hackfrüchte, übrige Kulturen, Futterbau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01915-28D5-4C5B-B6E9-B517F5891A60}">
  <sheetPr codeName="Feuil2">
    <tabColor rgb="FFFF0000"/>
  </sheetPr>
  <dimension ref="A2:C500"/>
  <sheetViews>
    <sheetView topLeftCell="B27" workbookViewId="0">
      <selection activeCell="B46" sqref="B46"/>
    </sheetView>
  </sheetViews>
  <sheetFormatPr baseColWidth="10" defaultColWidth="11.44140625" defaultRowHeight="13.2"/>
  <cols>
    <col min="1" max="2" width="92.44140625" bestFit="1" customWidth="1"/>
    <col min="3" max="3" width="91.5546875" bestFit="1" customWidth="1"/>
  </cols>
  <sheetData>
    <row r="2" spans="1:3">
      <c r="A2" s="140" t="str">
        <f>'DB-MB'!K2</f>
        <v>FR</v>
      </c>
      <c r="B2" t="s">
        <v>78</v>
      </c>
      <c r="C2" t="s">
        <v>0</v>
      </c>
    </row>
    <row r="3" spans="1:3">
      <c r="A3" s="375" t="str">
        <f t="array" ref="A3:A500">INDEX(B3:C500,,MATCH($A$2,$B$2:$C$2,0))</f>
        <v>Betteraves sucrières</v>
      </c>
      <c r="B3" s="133" t="s">
        <v>79</v>
      </c>
      <c r="C3" s="133" t="s">
        <v>80</v>
      </c>
    </row>
    <row r="4" spans="1:3" ht="39.6">
      <c r="A4" s="375" t="str">
        <v>Betteraves sucrières
BIO, départ champ
Version Cat.- Marge brute</v>
      </c>
      <c r="B4" s="402" t="s">
        <v>81</v>
      </c>
      <c r="C4" s="402" t="s">
        <v>82</v>
      </c>
    </row>
    <row r="5" spans="1:3">
      <c r="A5" s="375" t="str">
        <v>Propre exploitation</v>
      </c>
      <c r="B5" s="133" t="s">
        <v>83</v>
      </c>
      <c r="C5" s="133" t="s">
        <v>84</v>
      </c>
    </row>
    <row r="6" spans="1:3">
      <c r="A6" s="375" t="str">
        <v>Variante</v>
      </c>
      <c r="B6" s="133" t="s">
        <v>85</v>
      </c>
      <c r="C6" s="133" t="s">
        <v>85</v>
      </c>
    </row>
    <row r="7" spans="1:3">
      <c r="A7" s="375" t="str">
        <v>unité de</v>
      </c>
      <c r="B7" s="133" t="s">
        <v>86</v>
      </c>
      <c r="C7" s="133" t="s">
        <v>87</v>
      </c>
    </row>
    <row r="8" spans="1:3">
      <c r="A8" s="375" t="str">
        <v>quantité</v>
      </c>
      <c r="B8" s="133" t="s">
        <v>88</v>
      </c>
      <c r="C8" s="133" t="s">
        <v>89</v>
      </c>
    </row>
    <row r="9" spans="1:3">
      <c r="A9" s="375" t="str">
        <v>prix</v>
      </c>
      <c r="B9" s="133" t="s">
        <v>90</v>
      </c>
      <c r="C9" s="133" t="s">
        <v>91</v>
      </c>
    </row>
    <row r="10" spans="1:3">
      <c r="A10" s="375" t="str">
        <v>montant</v>
      </c>
      <c r="B10" s="133" t="s">
        <v>92</v>
      </c>
      <c r="C10" s="133" t="s">
        <v>93</v>
      </c>
    </row>
    <row r="11" spans="1:3">
      <c r="A11" s="375" t="str">
        <v>Betteraves</v>
      </c>
      <c r="B11" s="133" t="s">
        <v>94</v>
      </c>
      <c r="C11" s="133" t="s">
        <v>95</v>
      </c>
    </row>
    <row r="12" spans="1:3">
      <c r="A12" s="375" t="str">
        <v>Contribution cult. des champs</v>
      </c>
      <c r="B12" s="133" t="s">
        <v>96</v>
      </c>
      <c r="C12" s="133" t="s">
        <v>97</v>
      </c>
    </row>
    <row r="13" spans="1:3">
      <c r="A13" s="375" t="str">
        <v>Bettr. Promotion de culture éco. (IP, BIO)</v>
      </c>
      <c r="B13" s="133" t="s">
        <v>98</v>
      </c>
      <c r="C13" s="133" t="s">
        <v>99</v>
      </c>
    </row>
    <row r="14" spans="1:3">
      <c r="A14" s="375" t="str">
        <v>BIO livraison tôt pris en compte dans le prix</v>
      </c>
      <c r="B14" s="133" t="s">
        <v>100</v>
      </c>
      <c r="C14" s="133" t="s">
        <v>101</v>
      </c>
    </row>
    <row r="15" spans="1:3">
      <c r="A15" s="375" t="str">
        <v>Prestation (produit)</v>
      </c>
      <c r="B15" s="133" t="s">
        <v>102</v>
      </c>
      <c r="C15" s="133" t="s">
        <v>103</v>
      </c>
    </row>
    <row r="16" spans="1:3">
      <c r="A16" s="375" t="str">
        <v>Semence non traitée</v>
      </c>
      <c r="B16" s="133" t="s">
        <v>104</v>
      </c>
      <c r="C16" s="133" t="s">
        <v>105</v>
      </c>
    </row>
    <row r="17" spans="1:3">
      <c r="A17" s="375" t="str">
        <v>Plantons</v>
      </c>
      <c r="B17" s="133" t="s">
        <v>106</v>
      </c>
      <c r="C17" s="133" t="s">
        <v>107</v>
      </c>
    </row>
    <row r="18" spans="1:3">
      <c r="A18" s="375" t="str">
        <v>Total semences/plants</v>
      </c>
      <c r="B18" s="133" t="s">
        <v>108</v>
      </c>
      <c r="C18" s="133" t="s">
        <v>109</v>
      </c>
    </row>
    <row r="19" spans="1:3">
      <c r="A19" s="375" t="str">
        <v>Engrais organiques</v>
      </c>
      <c r="B19" s="133" t="s">
        <v>110</v>
      </c>
      <c r="C19" s="133" t="s">
        <v>111</v>
      </c>
    </row>
    <row r="20" spans="1:3">
      <c r="A20" s="375" t="str">
        <v>Total fumure</v>
      </c>
      <c r="B20" s="133" t="s">
        <v>112</v>
      </c>
      <c r="C20" s="133" t="s">
        <v>113</v>
      </c>
    </row>
    <row r="21" spans="1:3">
      <c r="A21" s="375" t="str">
        <v>Autres préparations</v>
      </c>
      <c r="B21" s="133" t="s">
        <v>114</v>
      </c>
      <c r="C21" s="133" t="s">
        <v>115</v>
      </c>
    </row>
    <row r="22" spans="1:3">
      <c r="A22" s="375" t="str">
        <v>Total protection des plantes</v>
      </c>
      <c r="B22" s="133" t="s">
        <v>116</v>
      </c>
      <c r="C22" s="133" t="s">
        <v>117</v>
      </c>
    </row>
    <row r="23" spans="1:3">
      <c r="A23" s="375" t="str">
        <v>Assurance grêle</v>
      </c>
      <c r="B23" s="133" t="s">
        <v>118</v>
      </c>
      <c r="C23" s="133" t="s">
        <v>119</v>
      </c>
    </row>
    <row r="24" spans="1:3">
      <c r="A24" s="375" t="str">
        <v>Total charges spécifiques divers</v>
      </c>
      <c r="B24" s="133" t="s">
        <v>120</v>
      </c>
      <c r="C24" s="133" t="s">
        <v>121</v>
      </c>
    </row>
    <row r="25" spans="1:3">
      <c r="A25" s="375" t="str">
        <v>Total coûts spécifiques</v>
      </c>
      <c r="B25" s="133" t="s">
        <v>122</v>
      </c>
      <c r="C25" s="133" t="s">
        <v>123</v>
      </c>
    </row>
    <row r="26" spans="1:3">
      <c r="A26" s="375" t="str">
        <v>MB comparable</v>
      </c>
      <c r="B26" s="133" t="s">
        <v>124</v>
      </c>
      <c r="C26" s="133" t="s">
        <v>125</v>
      </c>
    </row>
    <row r="27" spans="1:3">
      <c r="A27" s="375" t="str">
        <v>Location machines (selon procédé défini)</v>
      </c>
      <c r="B27" s="133" t="s">
        <v>126</v>
      </c>
      <c r="C27" s="133" t="s">
        <v>127</v>
      </c>
    </row>
    <row r="28" spans="1:3">
      <c r="A28" s="375" t="str">
        <v>Travaux par tiers (selon procédé défini)</v>
      </c>
      <c r="B28" s="133" t="s">
        <v>128</v>
      </c>
      <c r="C28" s="133" t="s">
        <v>129</v>
      </c>
    </row>
    <row r="29" spans="1:3">
      <c r="A29" s="375" t="str">
        <v>Total travaux par tiers, location machines</v>
      </c>
      <c r="B29" s="133" t="s">
        <v>130</v>
      </c>
      <c r="C29" s="133" t="s">
        <v>131</v>
      </c>
    </row>
    <row r="30" spans="1:3">
      <c r="A30" s="375" t="str">
        <v>MB planification globale</v>
      </c>
      <c r="B30" s="133" t="s">
        <v>132</v>
      </c>
      <c r="C30" s="133" t="s">
        <v>133</v>
      </c>
    </row>
    <row r="31" spans="1:3">
      <c r="A31" s="375" t="str">
        <v>Frais machines variables</v>
      </c>
      <c r="B31" s="133" t="s">
        <v>134</v>
      </c>
      <c r="C31" s="133" t="s">
        <v>135</v>
      </c>
    </row>
    <row r="32" spans="1:3">
      <c r="A32" s="375" t="str">
        <v>Intérêt calculé</v>
      </c>
      <c r="B32" s="133" t="s">
        <v>136</v>
      </c>
      <c r="C32" s="133" t="s">
        <v>137</v>
      </c>
    </row>
    <row r="33" spans="1:3">
      <c r="A33" s="375" t="str">
        <v>Frais de contrôle et de label</v>
      </c>
      <c r="B33" s="133" t="s">
        <v>138</v>
      </c>
      <c r="C33" s="133" t="s">
        <v>139</v>
      </c>
    </row>
    <row r="34" spans="1:3">
      <c r="A34" s="375" t="str">
        <v>MB</v>
      </c>
      <c r="B34" s="133" t="s">
        <v>140</v>
      </c>
      <c r="C34" s="133" t="s">
        <v>141</v>
      </c>
    </row>
    <row r="35" spans="1:3">
      <c r="A35" s="375" t="str">
        <v>Contributions à la surface</v>
      </c>
      <c r="B35" s="133" t="s">
        <v>142</v>
      </c>
      <c r="C35" s="133" t="s">
        <v>143</v>
      </c>
    </row>
    <row r="36" spans="1:3">
      <c r="A36" s="375" t="str">
        <v>Contributions au paysage cultivé</v>
      </c>
      <c r="B36" s="133" t="s">
        <v>144</v>
      </c>
      <c r="C36" s="133" t="s">
        <v>145</v>
      </c>
    </row>
    <row r="37" spans="1:3">
      <c r="A37" s="375" t="str">
        <v>Contrib. à la sécurité de l'appro.</v>
      </c>
      <c r="B37" s="133" t="s">
        <v>146</v>
      </c>
      <c r="C37" s="133" t="s">
        <v>147</v>
      </c>
    </row>
    <row r="38" spans="1:3">
      <c r="A38" s="375" t="str">
        <v>Agriculture biologique (terres ouvertes)</v>
      </c>
      <c r="B38" s="133" t="s">
        <v>148</v>
      </c>
      <c r="C38" s="133" t="s">
        <v>149</v>
      </c>
    </row>
    <row r="39" spans="1:3">
      <c r="A39" s="375" t="str">
        <v>MB y compris contributions</v>
      </c>
      <c r="B39" s="133" t="s">
        <v>150</v>
      </c>
      <c r="C39" s="133" t="s">
        <v>151</v>
      </c>
    </row>
    <row r="40" spans="1:3">
      <c r="A40" s="375" t="str">
        <v>coûts machines fixes (Amortissement,…)</v>
      </c>
      <c r="B40" s="500" t="s">
        <v>507</v>
      </c>
      <c r="C40" s="500" t="s">
        <v>508</v>
      </c>
    </row>
    <row r="41" spans="1:3">
      <c r="A41" s="375" t="str">
        <v>Irrigation</v>
      </c>
      <c r="B41" s="133" t="s">
        <v>152</v>
      </c>
      <c r="C41" s="133" t="s">
        <v>153</v>
      </c>
    </row>
    <row r="42" spans="1:3">
      <c r="A42" s="375" t="str">
        <v>Autres contributions possibles Fr./ha</v>
      </c>
      <c r="B42" s="133" t="s">
        <v>154</v>
      </c>
      <c r="C42" s="133" t="s">
        <v>155</v>
      </c>
    </row>
    <row r="43" spans="1:3" ht="26.4">
      <c r="A43" s="375" t="str">
        <v>Contributions au système de production Fr./ha: non-recours produits phyto. 800, non-recours herbicides 250,</v>
      </c>
      <c r="B43" s="133" t="s">
        <v>156</v>
      </c>
      <c r="C43" s="133" t="s">
        <v>157</v>
      </c>
    </row>
    <row r="44" spans="1:3">
      <c r="A44" s="375" t="str">
        <v xml:space="preserve">Techniques culturales préservant le sol 250, utilisation efficiente de l’azote 100, couverture appropriée du sol 200, </v>
      </c>
      <c r="B44" s="133" t="s">
        <v>158</v>
      </c>
      <c r="C44" s="133" t="s">
        <v>159</v>
      </c>
    </row>
    <row r="45" spans="1:3">
      <c r="A45" s="375" t="str">
        <v>Contribution à la qualité du paysage jusqu'à 360 Fr./ha</v>
      </c>
      <c r="B45" s="133" t="s">
        <v>160</v>
      </c>
      <c r="C45" s="133" t="s">
        <v>161</v>
      </c>
    </row>
    <row r="46" spans="1:3">
      <c r="A46" s="375" t="str">
        <v>IP-Suisse : Prime Fr. 60.00 / tonne rendement en sucre</v>
      </c>
      <c r="B46" s="133" t="s">
        <v>570</v>
      </c>
      <c r="C46" s="133" t="s">
        <v>571</v>
      </c>
    </row>
    <row r="47" spans="1:3">
      <c r="A47" s="375" t="str">
        <v>Heures de traction</v>
      </c>
      <c r="B47" s="133" t="s">
        <v>162</v>
      </c>
      <c r="C47" s="133" t="s">
        <v>163</v>
      </c>
    </row>
    <row r="48" spans="1:3">
      <c r="A48" s="375" t="str">
        <v>MOh total</v>
      </c>
      <c r="B48" s="133" t="s">
        <v>164</v>
      </c>
      <c r="C48" s="133" t="s">
        <v>165</v>
      </c>
    </row>
    <row r="49" spans="1:3">
      <c r="A49" s="375" t="str">
        <v xml:space="preserve">   dont M &amp; T*</v>
      </c>
      <c r="B49" s="133" t="s">
        <v>166</v>
      </c>
      <c r="C49" s="133" t="s">
        <v>167</v>
      </c>
    </row>
    <row r="50" spans="1:3">
      <c r="A50" s="375" t="str">
        <v xml:space="preserve">   dont mise en culture et soins</v>
      </c>
      <c r="B50" s="133" t="s">
        <v>168</v>
      </c>
      <c r="C50" s="133" t="s">
        <v>169</v>
      </c>
    </row>
    <row r="51" spans="1:3">
      <c r="A51" s="375" t="str">
        <v xml:space="preserve">   dont récolte</v>
      </c>
      <c r="B51" s="133" t="s">
        <v>170</v>
      </c>
      <c r="C51" s="133" t="s">
        <v>171</v>
      </c>
    </row>
    <row r="52" spans="1:3">
      <c r="A52" s="375" t="str">
        <v>*Management et travaux spéciaux</v>
      </c>
      <c r="B52" s="133" t="s">
        <v>172</v>
      </c>
      <c r="C52" s="133" t="s">
        <v>173</v>
      </c>
    </row>
    <row r="53" spans="1:3">
      <c r="A53" s="375" t="str">
        <v>boîtes</v>
      </c>
      <c r="B53" s="133" t="s">
        <v>174</v>
      </c>
      <c r="C53" s="133" t="s">
        <v>175</v>
      </c>
    </row>
    <row r="54" spans="1:3">
      <c r="A54" s="375" t="str">
        <v>pièces</v>
      </c>
      <c r="B54" s="133" t="s">
        <v>176</v>
      </c>
      <c r="C54" s="133" t="s">
        <v>177</v>
      </c>
    </row>
    <row r="55" spans="1:3">
      <c r="A55" s="375" t="str">
        <v>dt</v>
      </c>
      <c r="B55" s="133" t="s">
        <v>178</v>
      </c>
      <c r="C55" s="133" t="s">
        <v>178</v>
      </c>
    </row>
    <row r="56" spans="1:3">
      <c r="A56" s="375" t="str">
        <v>kg</v>
      </c>
      <c r="B56" s="133" t="s">
        <v>179</v>
      </c>
      <c r="C56" s="133" t="s">
        <v>179</v>
      </c>
    </row>
    <row r="57" spans="1:3">
      <c r="A57" s="375" t="str">
        <v>fois</v>
      </c>
      <c r="B57" s="133" t="s">
        <v>180</v>
      </c>
      <c r="C57" s="133" t="s">
        <v>181</v>
      </c>
    </row>
    <row r="58" spans="1:3">
      <c r="A58" t="str">
        <v>Saisie possible</v>
      </c>
      <c r="B58" s="133" t="s">
        <v>182</v>
      </c>
      <c r="C58" s="133" t="s">
        <v>183</v>
      </c>
    </row>
    <row r="59" spans="1:3">
      <c r="A59" t="str">
        <v>Saisie directe et écrasement formules ou valeurs possible</v>
      </c>
      <c r="B59" s="133" t="s">
        <v>184</v>
      </c>
      <c r="C59" s="133" t="s">
        <v>185</v>
      </c>
    </row>
    <row r="60" spans="1:3">
      <c r="A60" t="str">
        <v>Sélection menu déroulant ou saisie directe possible</v>
      </c>
      <c r="B60" s="133" t="s">
        <v>186</v>
      </c>
      <c r="C60" s="133" t="s">
        <v>187</v>
      </c>
    </row>
    <row r="61" spans="1:3">
      <c r="A61" t="str">
        <v>Calculateur MB</v>
      </c>
      <c r="B61" s="133" t="s">
        <v>564</v>
      </c>
      <c r="C61" s="500" t="s">
        <v>188</v>
      </c>
    </row>
    <row r="62" spans="1:3">
      <c r="A62" t="str">
        <v>Procédes culturaux et travaux manuel</v>
      </c>
      <c r="B62" s="133" t="s">
        <v>189</v>
      </c>
      <c r="C62" s="133" t="s">
        <v>190</v>
      </c>
    </row>
    <row r="63" spans="1:3">
      <c r="A63" t="str">
        <v>Travail du sol</v>
      </c>
      <c r="B63" s="133" t="s">
        <v>191</v>
      </c>
      <c r="C63" s="133" t="s">
        <v>192</v>
      </c>
    </row>
    <row r="64" spans="1:3">
      <c r="A64" t="str">
        <v>Préparation du lit de semence</v>
      </c>
      <c r="B64" s="133" t="s">
        <v>193</v>
      </c>
      <c r="C64" s="133" t="s">
        <v>194</v>
      </c>
    </row>
    <row r="65" spans="1:3">
      <c r="A65" t="str">
        <v>Semis</v>
      </c>
      <c r="B65" s="133" t="s">
        <v>195</v>
      </c>
      <c r="C65" s="133" t="s">
        <v>196</v>
      </c>
    </row>
    <row r="66" spans="1:3">
      <c r="A66" t="str">
        <v>Plantation</v>
      </c>
      <c r="B66" s="133" t="s">
        <v>197</v>
      </c>
      <c r="C66" s="133" t="s">
        <v>198</v>
      </c>
    </row>
    <row r="67" spans="1:3">
      <c r="A67" t="str">
        <v>Travaux d'entretien sur le champ</v>
      </c>
      <c r="B67" s="133" t="s">
        <v>199</v>
      </c>
      <c r="C67" s="133" t="s">
        <v>200</v>
      </c>
    </row>
    <row r="68" spans="1:3">
      <c r="A68" t="str">
        <v>Récolte</v>
      </c>
      <c r="B68" s="133" t="s">
        <v>201</v>
      </c>
      <c r="C68" s="133" t="s">
        <v>202</v>
      </c>
    </row>
    <row r="69" spans="1:3">
      <c r="A69" t="str">
        <v>travail manuel</v>
      </c>
      <c r="B69" s="133" t="s">
        <v>203</v>
      </c>
      <c r="C69" s="133" t="s">
        <v>204</v>
      </c>
    </row>
    <row r="70" spans="1:3">
      <c r="A70" t="str">
        <v>fumure organique  fumier / purin de la ferme / engrais organiques / engrais biogaz / compost etc.</v>
      </c>
      <c r="B70" s="133" t="s">
        <v>205</v>
      </c>
      <c r="C70" s="133" t="s">
        <v>206</v>
      </c>
    </row>
    <row r="71" spans="1:3">
      <c r="A71" t="str">
        <v>tracteur</v>
      </c>
      <c r="B71" s="133" t="s">
        <v>207</v>
      </c>
      <c r="C71" s="133" t="s">
        <v>208</v>
      </c>
    </row>
    <row r="72" spans="1:3">
      <c r="A72" t="str">
        <v>machine</v>
      </c>
      <c r="B72" s="133" t="s">
        <v>209</v>
      </c>
      <c r="C72" s="133" t="s">
        <v>210</v>
      </c>
    </row>
    <row r="73" spans="1:3">
      <c r="A73" t="str">
        <v>passages</v>
      </c>
      <c r="B73" s="133" t="s">
        <v>211</v>
      </c>
      <c r="C73" s="133" t="s">
        <v>212</v>
      </c>
    </row>
    <row r="74" spans="1:3">
      <c r="A74" t="str">
        <v>tracteur</v>
      </c>
      <c r="B74" s="133" t="s">
        <v>207</v>
      </c>
      <c r="C74" s="133" t="s">
        <v>208</v>
      </c>
    </row>
    <row r="75" spans="1:3">
      <c r="A75" t="str">
        <v>machine</v>
      </c>
      <c r="B75" s="133" t="s">
        <v>209</v>
      </c>
      <c r="C75" s="133" t="s">
        <v>210</v>
      </c>
    </row>
    <row r="76" spans="1:3">
      <c r="A76" t="str">
        <v>passages</v>
      </c>
      <c r="B76" s="133" t="s">
        <v>211</v>
      </c>
      <c r="C76" s="133" t="s">
        <v>212</v>
      </c>
    </row>
    <row r="77" spans="1:3">
      <c r="A77" t="str">
        <v>distributeur d'engrais</v>
      </c>
      <c r="B77" s="133" t="s">
        <v>213</v>
      </c>
      <c r="C77" s="133" t="s">
        <v>214</v>
      </c>
    </row>
    <row r="78" spans="1:3">
      <c r="A78" t="str">
        <v>pulverisateur</v>
      </c>
      <c r="B78" s="133" t="s">
        <v>215</v>
      </c>
      <c r="C78" s="133" t="s">
        <v>216</v>
      </c>
    </row>
    <row r="79" spans="1:3">
      <c r="A79" t="str">
        <v>herse étrille</v>
      </c>
      <c r="B79" s="133" t="s">
        <v>217</v>
      </c>
      <c r="C79" s="133" t="s">
        <v>218</v>
      </c>
    </row>
    <row r="80" spans="1:3">
      <c r="A80" t="str">
        <v>sarcleuse</v>
      </c>
      <c r="B80" s="133" t="s">
        <v>219</v>
      </c>
      <c r="C80" s="133" t="s">
        <v>220</v>
      </c>
    </row>
    <row r="81" spans="1:3">
      <c r="A81" t="str">
        <v>robot de terrain</v>
      </c>
      <c r="B81" s="133" t="s">
        <v>221</v>
      </c>
      <c r="C81" s="133" t="s">
        <v>222</v>
      </c>
    </row>
    <row r="82" spans="1:3">
      <c r="A82" t="str">
        <v>Récolt. totale automot.</v>
      </c>
      <c r="B82" s="133" t="s">
        <v>223</v>
      </c>
      <c r="C82" s="133" t="s">
        <v>224</v>
      </c>
    </row>
    <row r="83" spans="1:3">
      <c r="A83" t="str">
        <v>Récolt. totale traînée.</v>
      </c>
      <c r="B83" s="133" t="s">
        <v>225</v>
      </c>
      <c r="C83" s="133" t="s">
        <v>226</v>
      </c>
    </row>
    <row r="84" spans="1:3">
      <c r="A84" t="str">
        <v>Éclaircir</v>
      </c>
      <c r="B84" s="133" t="s">
        <v>227</v>
      </c>
      <c r="C84" s="133" t="s">
        <v>228</v>
      </c>
    </row>
    <row r="85" spans="1:3">
      <c r="A85" t="str">
        <v>Sarclage manuel</v>
      </c>
      <c r="B85" s="133" t="s">
        <v>229</v>
      </c>
      <c r="C85" s="133" t="s">
        <v>230</v>
      </c>
    </row>
    <row r="86" spans="1:3">
      <c r="A86" t="str">
        <v>Controles aux champs</v>
      </c>
      <c r="B86" s="133" t="s">
        <v>231</v>
      </c>
      <c r="C86" s="133" t="s">
        <v>232</v>
      </c>
    </row>
    <row r="87" spans="1:3">
      <c r="A87" t="str">
        <v xml:space="preserve">Autres travaux </v>
      </c>
      <c r="B87" s="133" t="s">
        <v>233</v>
      </c>
      <c r="C87" s="133" t="s">
        <v>234</v>
      </c>
    </row>
    <row r="88" spans="1:3">
      <c r="A88" t="str">
        <v>autres travaux (planif., admin etc.)</v>
      </c>
      <c r="B88" s="133" t="s">
        <v>235</v>
      </c>
      <c r="C88" s="133" t="s">
        <v>236</v>
      </c>
    </row>
    <row r="89" spans="1:3">
      <c r="A89" t="str">
        <v>typ d'engrais</v>
      </c>
      <c r="B89" s="133" t="s">
        <v>237</v>
      </c>
      <c r="C89" s="133" t="s">
        <v>238</v>
      </c>
    </row>
    <row r="90" spans="1:3">
      <c r="A90" t="str">
        <v>quantité par ha</v>
      </c>
      <c r="B90" s="133" t="s">
        <v>239</v>
      </c>
      <c r="C90" s="133" t="s">
        <v>240</v>
      </c>
    </row>
    <row r="91" spans="1:3">
      <c r="A91" t="str">
        <v>kw / type de machine</v>
      </c>
      <c r="B91" s="133" t="s">
        <v>241</v>
      </c>
      <c r="C91" s="133" t="s">
        <v>242</v>
      </c>
    </row>
    <row r="92" spans="1:3">
      <c r="A92" t="str">
        <v>Utilisation (propre P / location L / Entreprise E)</v>
      </c>
      <c r="B92" s="133" t="s">
        <v>243</v>
      </c>
      <c r="C92" s="500" t="s">
        <v>499</v>
      </c>
    </row>
    <row r="93" spans="1:3">
      <c r="A93" t="str">
        <v>Quantité</v>
      </c>
      <c r="B93" s="133" t="s">
        <v>244</v>
      </c>
      <c r="C93" s="133" t="s">
        <v>87</v>
      </c>
    </row>
    <row r="94" spans="1:3" ht="26.4">
      <c r="A94" t="str">
        <v>Coûts variables
(ou Entreprise)</v>
      </c>
      <c r="B94" s="499" t="s">
        <v>502</v>
      </c>
      <c r="C94" s="500" t="s">
        <v>503</v>
      </c>
    </row>
    <row r="95" spans="1:3">
      <c r="A95" t="str">
        <v>Coûts fixes</v>
      </c>
      <c r="B95" s="500" t="s">
        <v>504</v>
      </c>
      <c r="C95" s="500" t="s">
        <v>505</v>
      </c>
    </row>
    <row r="96" spans="1:3">
      <c r="A96" t="str">
        <v>Th</v>
      </c>
      <c r="B96" s="133" t="s">
        <v>245</v>
      </c>
      <c r="C96" s="133" t="s">
        <v>245</v>
      </c>
    </row>
    <row r="97" spans="1:3">
      <c r="A97" t="str">
        <v>MOh</v>
      </c>
      <c r="B97" s="133" t="s">
        <v>246</v>
      </c>
      <c r="C97" s="133" t="s">
        <v>247</v>
      </c>
    </row>
    <row r="98" spans="1:3">
      <c r="A98" t="str">
        <v>Total</v>
      </c>
      <c r="B98" s="133" t="s">
        <v>248</v>
      </c>
      <c r="C98" s="133" t="s">
        <v>248</v>
      </c>
    </row>
    <row r="99" spans="1:3">
      <c r="A99" t="str">
        <v>dont propre</v>
      </c>
      <c r="B99" s="133" t="s">
        <v>249</v>
      </c>
      <c r="C99" s="133" t="s">
        <v>250</v>
      </c>
    </row>
    <row r="100" spans="1:3">
      <c r="A100" t="str">
        <v>dont location</v>
      </c>
      <c r="B100" s="133" t="s">
        <v>251</v>
      </c>
      <c r="C100" s="133" t="s">
        <v>252</v>
      </c>
    </row>
    <row r="101" spans="1:3">
      <c r="A101" t="str">
        <v>dont entreprise</v>
      </c>
      <c r="B101" s="133" t="s">
        <v>253</v>
      </c>
      <c r="C101" s="133" t="s">
        <v>254</v>
      </c>
    </row>
    <row r="102" spans="1:3">
      <c r="A102" t="str">
        <v>TOTAL GENERAL</v>
      </c>
      <c r="B102" s="133" t="s">
        <v>255</v>
      </c>
      <c r="C102" s="500" t="s">
        <v>506</v>
      </c>
    </row>
    <row r="103" spans="1:3">
      <c r="A103" t="str">
        <v xml:space="preserve">   dont M &amp; T*</v>
      </c>
      <c r="B103" s="133" t="s">
        <v>166</v>
      </c>
      <c r="C103" s="133" t="s">
        <v>256</v>
      </c>
    </row>
    <row r="104" spans="1:3">
      <c r="A104" t="str">
        <v xml:space="preserve">   dont mise en culture et soins</v>
      </c>
      <c r="B104" s="133" t="s">
        <v>168</v>
      </c>
      <c r="C104" s="133" t="s">
        <v>257</v>
      </c>
    </row>
    <row r="105" spans="1:3">
      <c r="A105" t="str">
        <v xml:space="preserve">   dont récolte</v>
      </c>
      <c r="B105" s="133" t="s">
        <v>170</v>
      </c>
      <c r="C105" s="133" t="s">
        <v>258</v>
      </c>
    </row>
    <row r="106" spans="1:3">
      <c r="A106" t="str">
        <v>P</v>
      </c>
      <c r="B106" s="133" t="s">
        <v>12</v>
      </c>
      <c r="C106" s="133" t="s">
        <v>14</v>
      </c>
    </row>
    <row r="107" spans="1:3">
      <c r="A107" t="str">
        <v>L</v>
      </c>
      <c r="B107" s="133" t="s">
        <v>13</v>
      </c>
      <c r="C107" s="133" t="s">
        <v>259</v>
      </c>
    </row>
    <row r="108" spans="1:3">
      <c r="A108" t="str">
        <v>E</v>
      </c>
      <c r="B108" s="133" t="s">
        <v>14</v>
      </c>
      <c r="C108" s="133" t="s">
        <v>260</v>
      </c>
    </row>
    <row r="109" spans="1:3">
      <c r="A109" t="str">
        <v>Propriété</v>
      </c>
      <c r="B109" s="133" t="s">
        <v>261</v>
      </c>
      <c r="C109" s="133" t="s">
        <v>262</v>
      </c>
    </row>
    <row r="110" spans="1:3">
      <c r="A110" t="str">
        <v>Location</v>
      </c>
      <c r="B110" s="133" t="s">
        <v>263</v>
      </c>
      <c r="C110" s="133" t="s">
        <v>264</v>
      </c>
    </row>
    <row r="111" spans="1:3">
      <c r="A111" t="str">
        <v>Entreprise</v>
      </c>
      <c r="B111" s="133" t="s">
        <v>265</v>
      </c>
      <c r="C111" s="133" t="s">
        <v>266</v>
      </c>
    </row>
    <row r="112" spans="1:3">
      <c r="A112" t="str">
        <v>Total heures travaux manuel</v>
      </c>
      <c r="B112" s="133" t="s">
        <v>267</v>
      </c>
      <c r="C112" s="133" t="s">
        <v>268</v>
      </c>
    </row>
    <row r="113" spans="1:3">
      <c r="A113" t="str">
        <v>Nombre de travailleurs</v>
      </c>
      <c r="B113" s="133" t="s">
        <v>269</v>
      </c>
      <c r="C113" s="133" t="s">
        <v>270</v>
      </c>
    </row>
    <row r="114" spans="1:3">
      <c r="A114" t="str">
        <v>Epandage</v>
      </c>
      <c r="B114" s="133" t="s">
        <v>271</v>
      </c>
      <c r="C114" s="133" t="s">
        <v>272</v>
      </c>
    </row>
    <row r="115" spans="1:3">
      <c r="A115" t="str">
        <v>Travail du sol</v>
      </c>
      <c r="B115" s="133" t="s">
        <v>191</v>
      </c>
      <c r="C115" s="133" t="s">
        <v>192</v>
      </c>
    </row>
    <row r="116" spans="1:3">
      <c r="A116" t="str">
        <v>Sous-soleuse, profondeur de travail   70 cm</v>
      </c>
      <c r="B116" s="133" t="s">
        <v>273</v>
      </c>
      <c r="C116" s="133" t="s">
        <v>274</v>
      </c>
    </row>
    <row r="117" spans="1:3">
      <c r="A117" t="str">
        <v>Décompacteur, 3 m</v>
      </c>
      <c r="B117" s="133" t="s">
        <v>275</v>
      </c>
      <c r="C117" s="133" t="s">
        <v>276</v>
      </c>
    </row>
    <row r="118" spans="1:3">
      <c r="A118" t="str">
        <v>Chisel avec rouleau émotteur, 2.5 m</v>
      </c>
      <c r="B118" s="133" t="s">
        <v>277</v>
      </c>
      <c r="C118" s="133" t="s">
        <v>278</v>
      </c>
    </row>
    <row r="119" spans="1:3">
      <c r="A119" t="str">
        <v>Chisel avec rouleau émotteur, 3 m</v>
      </c>
      <c r="B119" s="133" t="s">
        <v>279</v>
      </c>
      <c r="C119" s="133" t="s">
        <v>280</v>
      </c>
    </row>
    <row r="120" spans="1:3">
      <c r="A120" t="str">
        <v>Bêcheuse, 2 m</v>
      </c>
      <c r="B120" s="133" t="s">
        <v>281</v>
      </c>
      <c r="C120" s="133" t="s">
        <v>282</v>
      </c>
    </row>
    <row r="121" spans="1:3">
      <c r="A121" t="str">
        <v>Bêcheuse, 3 m</v>
      </c>
      <c r="B121" s="133" t="s">
        <v>283</v>
      </c>
      <c r="C121" s="133" t="s">
        <v>284</v>
      </c>
    </row>
    <row r="122" spans="1:3">
      <c r="A122" t="str">
        <v>Charrue bisoc</v>
      </c>
      <c r="B122" s="133" t="s">
        <v>285</v>
      </c>
      <c r="C122" s="133" t="s">
        <v>286</v>
      </c>
    </row>
    <row r="123" spans="1:3">
      <c r="A123" t="str">
        <v>Charrue trisoc</v>
      </c>
      <c r="B123" s="133" t="s">
        <v>287</v>
      </c>
      <c r="C123" s="133" t="s">
        <v>288</v>
      </c>
    </row>
    <row r="124" spans="1:3">
      <c r="A124" t="str">
        <v>Charrue quadrisoc</v>
      </c>
      <c r="B124" s="133" t="s">
        <v>289</v>
      </c>
      <c r="C124" s="133" t="s">
        <v>290</v>
      </c>
    </row>
    <row r="125" spans="1:3">
      <c r="A125" t="str">
        <v>Charrue à 5 socs</v>
      </c>
      <c r="B125" s="133" t="s">
        <v>291</v>
      </c>
      <c r="C125" s="133" t="s">
        <v>292</v>
      </c>
    </row>
    <row r="126" spans="1:3">
      <c r="A126" t="str">
        <v>Charrue à 6 socs</v>
      </c>
      <c r="B126" s="133" t="s">
        <v>293</v>
      </c>
      <c r="C126" s="133" t="s">
        <v>294</v>
      </c>
    </row>
    <row r="127" spans="1:3">
      <c r="A127" t="str">
        <v>Herse à disques tractée, 3 m</v>
      </c>
      <c r="B127" s="133" t="s">
        <v>295</v>
      </c>
      <c r="C127" s="133" t="s">
        <v>296</v>
      </c>
    </row>
    <row r="128" spans="1:3">
      <c r="A128" t="str">
        <v>Herse à disques tractée, 4 m</v>
      </c>
      <c r="B128" s="133" t="s">
        <v>297</v>
      </c>
      <c r="C128" s="133" t="s">
        <v>298</v>
      </c>
    </row>
    <row r="129" spans="1:3">
      <c r="A129" t="str">
        <v>Déchaumeuse à disques avec rouleau, 3 m</v>
      </c>
      <c r="B129" s="133" t="s">
        <v>299</v>
      </c>
      <c r="C129" s="133" t="s">
        <v>300</v>
      </c>
    </row>
    <row r="130" spans="1:3">
      <c r="A130" t="str">
        <v>Déchaumeuse à disques avec rouleau, 4 m</v>
      </c>
      <c r="B130" s="133" t="s">
        <v>301</v>
      </c>
      <c r="C130" s="133" t="s">
        <v>302</v>
      </c>
    </row>
    <row r="131" spans="1:3">
      <c r="A131" t="str">
        <v>Herse rotative avec rouleau packer, 2,5 m</v>
      </c>
      <c r="B131" s="133" t="s">
        <v>303</v>
      </c>
      <c r="C131" s="133" t="s">
        <v>304</v>
      </c>
    </row>
    <row r="132" spans="1:3">
      <c r="A132" t="str">
        <v>Herse rotative avec rouleau packer, 3 m</v>
      </c>
      <c r="B132" s="133" t="s">
        <v>305</v>
      </c>
      <c r="C132" s="133" t="s">
        <v>306</v>
      </c>
    </row>
    <row r="133" spans="1:3">
      <c r="A133" t="str">
        <v>Herse rotative avec rouleau packer, 4 m</v>
      </c>
      <c r="B133" s="133" t="s">
        <v>307</v>
      </c>
      <c r="C133" s="133" t="s">
        <v>308</v>
      </c>
    </row>
    <row r="134" spans="1:3">
      <c r="A134" t="str">
        <v>Herse rotative à axe horizontal, (rouleau packer) 2,5 m</v>
      </c>
      <c r="B134" s="133" t="s">
        <v>309</v>
      </c>
      <c r="C134" s="133" t="s">
        <v>310</v>
      </c>
    </row>
    <row r="135" spans="1:3">
      <c r="A135" t="str">
        <v>Herse rotative à axe horizontal, (rouleau packer) 3 m</v>
      </c>
      <c r="B135" s="133" t="s">
        <v>311</v>
      </c>
      <c r="C135" s="133" t="s">
        <v>312</v>
      </c>
    </row>
    <row r="136" spans="1:3">
      <c r="A136" t="str">
        <v>Rouleau cannelé, 2,5 m, attelage 3 points</v>
      </c>
      <c r="B136" s="133" t="s">
        <v>313</v>
      </c>
      <c r="C136" s="133" t="s">
        <v>314</v>
      </c>
    </row>
    <row r="137" spans="1:3">
      <c r="A137" t="str">
        <v>Rouleau cannelé, 3 m, attelage 3 points</v>
      </c>
      <c r="B137" s="133" t="s">
        <v>315</v>
      </c>
      <c r="C137" s="133" t="s">
        <v>316</v>
      </c>
    </row>
    <row r="138" spans="1:3">
      <c r="A138" t="str">
        <v>Rouleau cannelé, 6 m, traînée</v>
      </c>
      <c r="B138" s="133" t="s">
        <v>317</v>
      </c>
      <c r="C138" s="133" t="s">
        <v>318</v>
      </c>
    </row>
    <row r="139" spans="1:3">
      <c r="A139" t="str">
        <v>Rouleau cannelé, 8 m, traînée</v>
      </c>
      <c r="B139" s="133" t="s">
        <v>319</v>
      </c>
      <c r="C139" s="133" t="s">
        <v>320</v>
      </c>
    </row>
    <row r="140" spans="1:3">
      <c r="A140" t="str">
        <v>Semis, plantation</v>
      </c>
      <c r="B140" s="133" t="s">
        <v>321</v>
      </c>
      <c r="C140" s="133" t="s">
        <v>322</v>
      </c>
    </row>
    <row r="141" spans="1:3">
      <c r="A141" t="str">
        <v>Semoir monograine à betteraves, 6 rangs</v>
      </c>
      <c r="B141" s="133" t="s">
        <v>323</v>
      </c>
      <c r="C141" s="133" t="s">
        <v>324</v>
      </c>
    </row>
    <row r="142" spans="1:3">
      <c r="A142" t="str">
        <v>Semoir monograine à betteraves, 12 rangs</v>
      </c>
      <c r="B142" s="133" t="s">
        <v>325</v>
      </c>
      <c r="C142" s="133" t="s">
        <v>326</v>
      </c>
    </row>
    <row r="143" spans="1:3">
      <c r="A143" t="str">
        <v>Entretien</v>
      </c>
      <c r="B143" s="133" t="s">
        <v>327</v>
      </c>
      <c r="C143" s="133" t="s">
        <v>200</v>
      </c>
    </row>
    <row r="144" spans="1:3">
      <c r="A144" t="str">
        <v>Herse étrille, 6 m</v>
      </c>
      <c r="B144" s="133" t="s">
        <v>328</v>
      </c>
      <c r="C144" s="133" t="s">
        <v>329</v>
      </c>
    </row>
    <row r="145" spans="1:3">
      <c r="A145" t="str">
        <v>Herse étrille, hydraulique, 9 m</v>
      </c>
      <c r="B145" s="133" t="s">
        <v>330</v>
      </c>
      <c r="C145" s="133" t="s">
        <v>331</v>
      </c>
    </row>
    <row r="146" spans="1:3">
      <c r="A146" t="str">
        <v>Herse étrille, hydraulique, 12 m</v>
      </c>
      <c r="B146" s="133" t="s">
        <v>332</v>
      </c>
      <c r="C146" s="133" t="s">
        <v>333</v>
      </c>
    </row>
    <row r="147" spans="1:3">
      <c r="A147" t="str">
        <v>Sarcleuse à dents vibro, 4 rangs</v>
      </c>
      <c r="B147" s="133" t="s">
        <v>334</v>
      </c>
      <c r="C147" s="133" t="s">
        <v>335</v>
      </c>
    </row>
    <row r="148" spans="1:3">
      <c r="A148" t="str">
        <v>Sarcleuse à dents vibro, 6 rangs, repliable</v>
      </c>
      <c r="B148" s="133" t="s">
        <v>336</v>
      </c>
      <c r="C148" s="133" t="s">
        <v>337</v>
      </c>
    </row>
    <row r="149" spans="1:3">
      <c r="A149" t="str">
        <v>Sarcleuse à dents vibro, 8 rangs, 
repliable hydrauliquement</v>
      </c>
      <c r="B149" s="133" t="s">
        <v>338</v>
      </c>
      <c r="C149" s="133" t="s">
        <v>339</v>
      </c>
    </row>
    <row r="150" spans="1:3">
      <c r="A150" t="str">
        <v>Sarcleuse à dents vibro, 6 rangs, 
contrôle par caméra sur châssis réglable</v>
      </c>
      <c r="B150" s="133" t="s">
        <v>340</v>
      </c>
      <c r="C150" s="133" t="s">
        <v>341</v>
      </c>
    </row>
    <row r="151" spans="1:3">
      <c r="A151" t="str">
        <v>Sarcleuse à dents vibro, 8 rangs, 
contrôle par caméra sur châssis réglable</v>
      </c>
      <c r="B151" s="133" t="s">
        <v>342</v>
      </c>
      <c r="C151" s="133" t="s">
        <v>343</v>
      </c>
    </row>
    <row r="152" spans="1:3">
      <c r="A152" t="str">
        <v>Fumure, irrigation</v>
      </c>
      <c r="B152" s="133" t="s">
        <v>344</v>
      </c>
      <c r="C152" s="133" t="s">
        <v>345</v>
      </c>
    </row>
    <row r="153" spans="1:3">
      <c r="A153" t="str">
        <v>Distributeur à engrais centrifuge, jusqu'à 500 l</v>
      </c>
      <c r="B153" s="133" t="s">
        <v>346</v>
      </c>
      <c r="C153" s="133" t="s">
        <v>347</v>
      </c>
    </row>
    <row r="154" spans="1:3">
      <c r="A154" t="str">
        <v>Distributeur à engrais centrifuge, 500 - 1000 l</v>
      </c>
      <c r="B154" s="133" t="s">
        <v>348</v>
      </c>
      <c r="C154" s="133" t="s">
        <v>349</v>
      </c>
    </row>
    <row r="155" spans="1:3">
      <c r="A155" t="str">
        <v>Distributeur à engrais centrifuge, plus de 1000 l</v>
      </c>
      <c r="B155" s="133" t="s">
        <v>350</v>
      </c>
      <c r="C155" s="133" t="s">
        <v>351</v>
      </c>
    </row>
    <row r="156" spans="1:3">
      <c r="A156" t="str">
        <v>Epandeur à fumier latéral, 5 m3</v>
      </c>
      <c r="B156" s="133" t="s">
        <v>352</v>
      </c>
      <c r="C156" s="133" t="s">
        <v>353</v>
      </c>
    </row>
    <row r="157" spans="1:3">
      <c r="A157" t="str">
        <v>Epandeur à fumier, 8 m3</v>
      </c>
      <c r="B157" s="133" t="s">
        <v>354</v>
      </c>
      <c r="C157" s="133" t="s">
        <v>355</v>
      </c>
    </row>
    <row r="158" spans="1:3">
      <c r="A158" t="str">
        <v>Epandeur de fumier,10 m3</v>
      </c>
      <c r="B158" s="133" t="s">
        <v>356</v>
      </c>
      <c r="C158" s="133" t="s">
        <v>357</v>
      </c>
    </row>
    <row r="159" spans="1:3">
      <c r="A159" t="str">
        <v>Epandeur de fumier, 12 m3</v>
      </c>
      <c r="B159" s="133" t="s">
        <v>358</v>
      </c>
      <c r="C159" s="133" t="s">
        <v>359</v>
      </c>
    </row>
    <row r="160" spans="1:3">
      <c r="A160" t="str">
        <v>Epandeur universel, 14 m3</v>
      </c>
      <c r="B160" s="133" t="s">
        <v>360</v>
      </c>
      <c r="C160" s="133" t="s">
        <v>361</v>
      </c>
    </row>
    <row r="161" spans="1:3">
      <c r="A161" t="str">
        <v>Epandeur universel, 16 m3</v>
      </c>
      <c r="B161" s="133" t="s">
        <v>362</v>
      </c>
      <c r="C161" s="133" t="s">
        <v>363</v>
      </c>
    </row>
    <row r="162" spans="1:3">
      <c r="A162" t="str">
        <v>Epandeur universel, 21 m3</v>
      </c>
      <c r="B162" s="133" t="s">
        <v>364</v>
      </c>
      <c r="C162" s="133" t="s">
        <v>365</v>
      </c>
    </row>
    <row r="163" spans="1:3">
      <c r="A163" t="str">
        <v>Citerne lisier 3000 l, avec disp. d'épandage à tuyaux souples, 5 m</v>
      </c>
      <c r="B163" s="133" t="s">
        <v>366</v>
      </c>
      <c r="C163" s="133" t="s">
        <v>367</v>
      </c>
    </row>
    <row r="164" spans="1:3">
      <c r="A164" t="str">
        <v>Citerne lisier 5000 l, avec disp. d'épandage à tuyaux souples, 9 m</v>
      </c>
      <c r="B164" s="133" t="s">
        <v>368</v>
      </c>
      <c r="C164" s="133" t="s">
        <v>369</v>
      </c>
    </row>
    <row r="165" spans="1:3">
      <c r="A165" t="str">
        <v>Citerne lisier 6000 l, avec disp. d'épandage à tuyaux souples, 12 m</v>
      </c>
      <c r="B165" s="133" t="s">
        <v>370</v>
      </c>
      <c r="C165" s="133" t="s">
        <v>371</v>
      </c>
    </row>
    <row r="166" spans="1:3">
      <c r="A166" t="str">
        <v>Citerne lisier 8000 l, avec disp. d'épandage à tuyaux souples, 12 m</v>
      </c>
      <c r="B166" s="133" t="s">
        <v>372</v>
      </c>
      <c r="C166" s="133" t="s">
        <v>373</v>
      </c>
    </row>
    <row r="167" spans="1:3">
      <c r="A167" t="str">
        <v>Citerne lisier 10000 l, avec disp. d'épandage à tuyaux souples, 12 m</v>
      </c>
      <c r="B167" s="133" t="s">
        <v>374</v>
      </c>
      <c r="C167" s="133" t="s">
        <v>375</v>
      </c>
    </row>
    <row r="168" spans="1:3">
      <c r="A168" t="str">
        <v>Citerne lisier 12000 l, avec disp. d'épandage à tuyaux souples, 12 m</v>
      </c>
      <c r="B168" s="133" t="s">
        <v>376</v>
      </c>
      <c r="C168" s="133" t="s">
        <v>377</v>
      </c>
    </row>
    <row r="169" spans="1:3">
      <c r="A169" t="str">
        <v>Citerne lisier 15000 l, avec disp. d'épandage à tuyaux souples, 15 m</v>
      </c>
      <c r="B169" s="133" t="s">
        <v>378</v>
      </c>
      <c r="C169" s="133" t="s">
        <v>379</v>
      </c>
    </row>
    <row r="170" spans="1:3">
      <c r="A170" t="str">
        <v>Protection des plantes</v>
      </c>
      <c r="B170" s="133" t="s">
        <v>380</v>
      </c>
      <c r="C170" s="133" t="s">
        <v>381</v>
      </c>
    </row>
    <row r="171" spans="1:3">
      <c r="A171" t="str">
        <v>Pulvérisateur porté, rampe 12 m, réservoir 600 l</v>
      </c>
      <c r="B171" s="133" t="s">
        <v>382</v>
      </c>
      <c r="C171" s="133" t="s">
        <v>383</v>
      </c>
    </row>
    <row r="172" spans="1:3">
      <c r="A172" t="str">
        <v>Pulvérisateur porté, rampe 15 m, réservoir 800 l</v>
      </c>
      <c r="B172" s="133" t="s">
        <v>384</v>
      </c>
      <c r="C172" s="133" t="s">
        <v>385</v>
      </c>
    </row>
    <row r="173" spans="1:3">
      <c r="A173" t="str">
        <v>Pulvérisateur porté avec ventilateur, réservoir 500 l</v>
      </c>
      <c r="B173" s="133" t="s">
        <v>386</v>
      </c>
      <c r="C173" s="133" t="s">
        <v>387</v>
      </c>
    </row>
    <row r="174" spans="1:3">
      <c r="A174" t="str">
        <v>Pulvérisateur traîné avec ventilateur, réservoir 1000 l</v>
      </c>
      <c r="B174" s="133" t="s">
        <v>388</v>
      </c>
      <c r="C174" s="133" t="s">
        <v>389</v>
      </c>
    </row>
    <row r="175" spans="1:3">
      <c r="A175" t="str">
        <v>Récolte céréales/sarclées</v>
      </c>
      <c r="B175" s="133" t="s">
        <v>390</v>
      </c>
      <c r="C175" s="133" t="s">
        <v>391</v>
      </c>
    </row>
    <row r="176" spans="1:3">
      <c r="A176" t="str">
        <v>Récolt. totale de betteraves sucrières, traînée, 2 rangs</v>
      </c>
      <c r="B176" s="133" t="s">
        <v>392</v>
      </c>
      <c r="C176" s="133" t="s">
        <v>393</v>
      </c>
    </row>
    <row r="177" spans="1:3">
      <c r="A177" t="str">
        <v>Récolteuse totale de betteraves, automotrice,   6 rangs, 24 m3, moteur à diesel, 480 kW (652 ch)</v>
      </c>
      <c r="B177" s="133" t="s">
        <v>394</v>
      </c>
      <c r="C177" s="133" t="s">
        <v>395</v>
      </c>
    </row>
    <row r="178" spans="1:3">
      <c r="A178" t="str">
        <v>Chargeuse à betteraves,  automotrice, moteur à diesel, 260 kW (354 ch)</v>
      </c>
      <c r="B178" s="133" t="s">
        <v>396</v>
      </c>
      <c r="C178" s="133" t="s">
        <v>397</v>
      </c>
    </row>
    <row r="179" spans="1:3">
      <c r="A179" t="str">
        <v>Transports</v>
      </c>
      <c r="B179" s="133" t="s">
        <v>398</v>
      </c>
      <c r="C179" s="133" t="s">
        <v>399</v>
      </c>
    </row>
    <row r="180" spans="1:3">
      <c r="A180" t="str">
        <v>Remorque à essieux tandem, bh, 10 t</v>
      </c>
      <c r="B180" s="133" t="s">
        <v>400</v>
      </c>
      <c r="C180" s="133" t="s">
        <v>401</v>
      </c>
    </row>
    <row r="181" spans="1:3">
      <c r="A181" t="str">
        <v>Remorque à essieux tandem, bh, 15 t</v>
      </c>
      <c r="B181" s="133" t="s">
        <v>402</v>
      </c>
      <c r="C181" s="133" t="s">
        <v>403</v>
      </c>
    </row>
    <row r="182" spans="1:3">
      <c r="A182" t="str">
        <v>Traction de remorque, à essieux tandem, bh, 15 t, à 2 - essieux,bh plus de 10 t</v>
      </c>
      <c r="B182" s="133" t="s">
        <v>404</v>
      </c>
      <c r="C182" s="133" t="s">
        <v>405</v>
      </c>
    </row>
    <row r="183" spans="1:3">
      <c r="A183" t="str">
        <v>Tracteurs</v>
      </c>
      <c r="B183" s="133" t="s">
        <v>406</v>
      </c>
      <c r="C183" s="133" t="s">
        <v>407</v>
      </c>
    </row>
    <row r="184" spans="1:3">
      <c r="A184" t="str">
        <v>Tracteur 30-36 kW  (41-49 ch)</v>
      </c>
      <c r="B184" s="133" t="s">
        <v>408</v>
      </c>
      <c r="C184" s="133" t="s">
        <v>409</v>
      </c>
    </row>
    <row r="185" spans="1:3">
      <c r="A185" t="str">
        <v>Tracteur, 33 kW, roues jumelées</v>
      </c>
      <c r="B185" s="133" t="s">
        <v>410</v>
      </c>
      <c r="C185" s="133" t="s">
        <v>411</v>
      </c>
    </row>
    <row r="186" spans="1:3">
      <c r="A186" t="str">
        <v>Tracteur 37-44 kW  (50-60 ch)</v>
      </c>
      <c r="B186" s="133" t="s">
        <v>412</v>
      </c>
      <c r="C186" s="133" t="s">
        <v>413</v>
      </c>
    </row>
    <row r="187" spans="1:3">
      <c r="A187" t="str">
        <v>Tracteur, 41 kW, roues jumelées</v>
      </c>
      <c r="B187" s="133" t="s">
        <v>414</v>
      </c>
      <c r="C187" s="133" t="s">
        <v>415</v>
      </c>
    </row>
    <row r="188" spans="1:3">
      <c r="A188" t="str">
        <v>Tracteur 45-54 kW  (61-73 ch)</v>
      </c>
      <c r="B188" s="133" t="s">
        <v>416</v>
      </c>
      <c r="C188" s="133" t="s">
        <v>417</v>
      </c>
    </row>
    <row r="189" spans="1:3">
      <c r="A189" t="str">
        <v>Tracteur, 50 kW, roues jumelées</v>
      </c>
      <c r="B189" s="133" t="s">
        <v>418</v>
      </c>
      <c r="C189" s="133" t="s">
        <v>419</v>
      </c>
    </row>
    <row r="190" spans="1:3">
      <c r="A190" t="str">
        <v>Tracteur 55-64 kW  (74-87 ch)</v>
      </c>
      <c r="B190" s="133" t="s">
        <v>420</v>
      </c>
      <c r="C190" s="133" t="s">
        <v>421</v>
      </c>
    </row>
    <row r="191" spans="1:3">
      <c r="A191" t="str">
        <v>Tracteur, 60 kW, roues jumelées</v>
      </c>
      <c r="B191" s="133" t="s">
        <v>422</v>
      </c>
      <c r="C191" s="133" t="s">
        <v>423</v>
      </c>
    </row>
    <row r="192" spans="1:3">
      <c r="A192" t="str">
        <v>Tracteur 65-74 kW  (88-101 ch)</v>
      </c>
      <c r="B192" s="133" t="s">
        <v>424</v>
      </c>
      <c r="C192" s="133" t="s">
        <v>425</v>
      </c>
    </row>
    <row r="193" spans="1:3">
      <c r="A193" t="str">
        <v>Tracteur, 70 kW, roues jumelées</v>
      </c>
      <c r="B193" s="133" t="s">
        <v>426</v>
      </c>
      <c r="C193" s="133" t="s">
        <v>427</v>
      </c>
    </row>
    <row r="194" spans="1:3">
      <c r="A194" t="str">
        <v>Tracteur 75-89 kW  (102-121 ch)</v>
      </c>
      <c r="B194" s="133" t="s">
        <v>428</v>
      </c>
      <c r="C194" s="133" t="s">
        <v>429</v>
      </c>
    </row>
    <row r="195" spans="1:3">
      <c r="A195" t="str">
        <v>Tracteur, 82 kW, roues jumelées</v>
      </c>
      <c r="B195" s="133" t="s">
        <v>430</v>
      </c>
      <c r="C195" s="133" t="s">
        <v>431</v>
      </c>
    </row>
    <row r="196" spans="1:3">
      <c r="A196" t="str">
        <v>Tracteur  90-104 kW  (122-142 ch)</v>
      </c>
      <c r="B196" s="133" t="s">
        <v>432</v>
      </c>
      <c r="C196" s="133" t="s">
        <v>433</v>
      </c>
    </row>
    <row r="197" spans="1:3">
      <c r="A197" t="str">
        <v>Tracteur 105-124 kW  (143-169 ch)</v>
      </c>
      <c r="B197" s="133" t="s">
        <v>434</v>
      </c>
      <c r="C197" s="133" t="s">
        <v>435</v>
      </c>
    </row>
    <row r="198" spans="1:3">
      <c r="A198" t="str">
        <v>Tracteur 125-149 kW  (171-203 ch)</v>
      </c>
      <c r="B198" s="133" t="s">
        <v>436</v>
      </c>
      <c r="C198" s="133" t="s">
        <v>437</v>
      </c>
    </row>
    <row r="199" spans="1:3">
      <c r="A199" t="str">
        <v>Tracteur 150-199 kW  (204-271 ch)</v>
      </c>
      <c r="B199" s="133" t="s">
        <v>438</v>
      </c>
      <c r="C199" s="133" t="s">
        <v>439</v>
      </c>
    </row>
    <row r="200" spans="1:3">
      <c r="A200" t="str">
        <v>Tracteur 200-250 kW  (272-340 ch)</v>
      </c>
      <c r="B200" s="133" t="s">
        <v>440</v>
      </c>
      <c r="C200" s="133" t="s">
        <v>441</v>
      </c>
    </row>
    <row r="201" spans="1:3">
      <c r="A201" t="str">
        <v>Tracteur étroit, 4 roues, 30 kW</v>
      </c>
      <c r="B201" s="133" t="s">
        <v>442</v>
      </c>
      <c r="C201" s="133" t="s">
        <v>443</v>
      </c>
    </row>
    <row r="202" spans="1:3">
      <c r="A202" t="str">
        <v>Tracteur étroit, 4 roues, 45 kW</v>
      </c>
      <c r="B202" s="133" t="s">
        <v>444</v>
      </c>
      <c r="C202" s="133" t="s">
        <v>445</v>
      </c>
    </row>
    <row r="203" spans="1:3">
      <c r="A203" t="str">
        <v>Tracteur étroit, 4 roues, 55 kW</v>
      </c>
      <c r="B203" s="133" t="s">
        <v>446</v>
      </c>
      <c r="C203" s="133" t="s">
        <v>447</v>
      </c>
    </row>
    <row r="204" spans="1:3">
      <c r="A204" t="str">
        <v>Chenillette, avec dispositif de levage, 44 kW</v>
      </c>
      <c r="B204" s="133" t="s">
        <v>448</v>
      </c>
      <c r="C204" s="133" t="s">
        <v>449</v>
      </c>
    </row>
    <row r="205" spans="1:3">
      <c r="A205" t="str">
        <v>Tracteur articulé, 40 kW</v>
      </c>
      <c r="B205" s="133" t="s">
        <v>450</v>
      </c>
      <c r="C205" s="133" t="s">
        <v>451</v>
      </c>
    </row>
    <row r="206" spans="1:3">
      <c r="A206" t="str">
        <v>Chenillette, 18 kW</v>
      </c>
      <c r="B206" s="133" t="s">
        <v>452</v>
      </c>
      <c r="C206" s="133" t="s">
        <v>453</v>
      </c>
    </row>
    <row r="207" spans="1:3">
      <c r="A207" t="str">
        <v>Pas de tracteur, uniquement trav. manuel (mettre 0)</v>
      </c>
      <c r="B207" s="133" t="s">
        <v>454</v>
      </c>
      <c r="C207" s="133" t="s">
        <v>455</v>
      </c>
    </row>
    <row r="208" spans="1:3">
      <c r="A208" t="str">
        <v>Roues jumelées, avant et arrière, &lt;64 kW</v>
      </c>
      <c r="B208" s="133" t="s">
        <v>456</v>
      </c>
      <c r="C208" s="133" t="s">
        <v>457</v>
      </c>
    </row>
    <row r="209" spans="1:3">
      <c r="A209" t="str">
        <v>Roues jumelées, avant et arrière, &gt;65 kW</v>
      </c>
      <c r="B209" s="133" t="s">
        <v>458</v>
      </c>
      <c r="C209" s="133" t="s">
        <v>459</v>
      </c>
    </row>
    <row r="210" spans="1:3">
      <c r="A210" t="str">
        <v>Tarif horaire travaux pour tâcherons</v>
      </c>
      <c r="B210" s="133" t="s">
        <v>460</v>
      </c>
      <c r="C210" s="133" t="s">
        <v>461</v>
      </c>
    </row>
    <row r="211" spans="1:3">
      <c r="A211" t="str">
        <v>Tarif horaire travaux pour tiers</v>
      </c>
      <c r="B211" s="133" t="s">
        <v>462</v>
      </c>
      <c r="C211" s="133" t="s">
        <v>463</v>
      </c>
    </row>
    <row r="212" spans="1:3">
      <c r="A212" t="str">
        <v>Tous les travaux par tiers sont calculés sans frais de personnel supplémentaire</v>
      </c>
      <c r="B212" s="133" t="s">
        <v>464</v>
      </c>
      <c r="C212" s="133" t="s">
        <v>465</v>
      </c>
    </row>
    <row r="213" spans="1:3">
      <c r="A213" t="str">
        <v>en italique = salaire calculé</v>
      </c>
      <c r="B213" s="133" t="s">
        <v>466</v>
      </c>
      <c r="C213" s="133" t="s">
        <v>467</v>
      </c>
    </row>
    <row r="214" spans="1:3">
      <c r="A214" t="str">
        <v>Coûts des machines, temps de travail et de traction</v>
      </c>
      <c r="B214" s="133" t="s">
        <v>468</v>
      </c>
      <c r="C214" s="133" t="s">
        <v>469</v>
      </c>
    </row>
    <row r="215" spans="1:3">
      <c r="A215" t="str">
        <v>N°</v>
      </c>
      <c r="B215" s="133" t="s">
        <v>470</v>
      </c>
      <c r="C215" s="133" t="s">
        <v>471</v>
      </c>
    </row>
    <row r="216" spans="1:3">
      <c r="A216" t="str">
        <v>Procédé</v>
      </c>
      <c r="B216" s="133" t="s">
        <v>472</v>
      </c>
      <c r="C216" s="133" t="s">
        <v>473</v>
      </c>
    </row>
    <row r="217" spans="1:3">
      <c r="A217" t="str">
        <v>U</v>
      </c>
      <c r="B217" s="133" t="s">
        <v>474</v>
      </c>
      <c r="C217" s="133" t="s">
        <v>475</v>
      </c>
    </row>
    <row r="218" spans="1:3">
      <c r="A218" t="str">
        <v>T</v>
      </c>
      <c r="B218" s="133" t="s">
        <v>56</v>
      </c>
      <c r="C218" s="133" t="s">
        <v>56</v>
      </c>
    </row>
    <row r="219" spans="1:3">
      <c r="A219" t="str">
        <v>Frais var. tract. Fr./U</v>
      </c>
      <c r="B219" s="133" t="s">
        <v>476</v>
      </c>
      <c r="C219" s="133" t="s">
        <v>477</v>
      </c>
    </row>
    <row r="220" spans="1:3">
      <c r="A220" t="str">
        <v>Frais var. mach. Fr./U</v>
      </c>
      <c r="B220" s="133" t="s">
        <v>478</v>
      </c>
      <c r="C220" s="133" t="s">
        <v>479</v>
      </c>
    </row>
    <row r="221" spans="1:3">
      <c r="A221" t="str">
        <v>Loc. mach. Fr./U</v>
      </c>
      <c r="B221" s="133" t="s">
        <v>480</v>
      </c>
      <c r="C221" s="133" t="s">
        <v>481</v>
      </c>
    </row>
    <row r="222" spans="1:3">
      <c r="A222" t="str">
        <v>Besoin MOh/U</v>
      </c>
      <c r="B222" s="133" t="s">
        <v>482</v>
      </c>
      <c r="C222" s="133" t="s">
        <v>483</v>
      </c>
    </row>
    <row r="223" spans="1:3">
      <c r="A223" t="str">
        <v>Besoin Th/U</v>
      </c>
      <c r="B223" s="133" t="s">
        <v>484</v>
      </c>
      <c r="C223" s="133" t="s">
        <v>485</v>
      </c>
    </row>
    <row r="224" spans="1:3">
      <c r="A224" t="str">
        <v>Fr./U</v>
      </c>
      <c r="B224" s="133" t="s">
        <v>486</v>
      </c>
      <c r="C224" s="133" t="s">
        <v>487</v>
      </c>
    </row>
    <row r="225" spans="1:3">
      <c r="A225" t="str">
        <v>Frais var. tract. Fr./U</v>
      </c>
      <c r="B225" s="133" t="s">
        <v>476</v>
      </c>
      <c r="C225" s="133" t="s">
        <v>488</v>
      </c>
    </row>
    <row r="226" spans="1:3">
      <c r="A226" t="str">
        <v>MOh/U</v>
      </c>
      <c r="B226" s="133" t="s">
        <v>489</v>
      </c>
      <c r="C226" s="133" t="s">
        <v>490</v>
      </c>
    </row>
    <row r="227" spans="1:3">
      <c r="A227" t="str">
        <v>Th/U</v>
      </c>
      <c r="B227" s="133" t="s">
        <v>491</v>
      </c>
      <c r="C227" s="133" t="s">
        <v>492</v>
      </c>
    </row>
    <row r="228" spans="1:3">
      <c r="A228" t="str">
        <v>Propre ou location</v>
      </c>
      <c r="B228" s="133" t="s">
        <v>493</v>
      </c>
      <c r="C228" s="133" t="s">
        <v>494</v>
      </c>
    </row>
    <row r="229" spans="1:3">
      <c r="A229" t="str">
        <v>Entreprise</v>
      </c>
      <c r="B229" s="133" t="s">
        <v>265</v>
      </c>
      <c r="C229" s="133" t="s">
        <v>495</v>
      </c>
    </row>
    <row r="230" spans="1:3">
      <c r="A230" t="str">
        <v>Art*</v>
      </c>
      <c r="B230" s="133" t="s">
        <v>496</v>
      </c>
      <c r="C230" s="133" t="s">
        <v>496</v>
      </c>
    </row>
    <row r="231" spans="1:3">
      <c r="A231" t="str">
        <v>Source</v>
      </c>
      <c r="B231" s="133" t="s">
        <v>497</v>
      </c>
      <c r="C231" s="133" t="s">
        <v>498</v>
      </c>
    </row>
    <row r="232" spans="1:3">
      <c r="A232" t="str">
        <v>Quantité / ha</v>
      </c>
      <c r="B232" s="500" t="s">
        <v>500</v>
      </c>
      <c r="C232" s="500" t="s">
        <v>501</v>
      </c>
    </row>
    <row r="233" spans="1:3">
      <c r="A233" t="str">
        <v>MB / h</v>
      </c>
      <c r="B233" s="500" t="s">
        <v>510</v>
      </c>
      <c r="C233" s="500" t="s">
        <v>509</v>
      </c>
    </row>
    <row r="234" spans="1:3">
      <c r="A234" t="str">
        <v>MB horaire</v>
      </c>
      <c r="B234" s="133" t="s">
        <v>566</v>
      </c>
      <c r="C234" s="133" t="s">
        <v>567</v>
      </c>
    </row>
    <row r="235" spans="1:3" s="130" customFormat="1">
      <c r="A235" s="130" t="str">
        <v>Informations et questions sur l'exploitation</v>
      </c>
      <c r="B235" s="501" t="s">
        <v>539</v>
      </c>
      <c r="C235" s="502" t="s">
        <v>514</v>
      </c>
    </row>
    <row r="236" spans="1:3">
      <c r="A236" t="str">
        <v>Tableau de bord de l'exploitation</v>
      </c>
      <c r="B236" s="500" t="s">
        <v>535</v>
      </c>
      <c r="C236" s="133" t="s">
        <v>563</v>
      </c>
    </row>
    <row r="237" spans="1:3">
      <c r="A237" t="str">
        <v>Production animale</v>
      </c>
      <c r="B237" s="500" t="s">
        <v>540</v>
      </c>
      <c r="C237" s="133" t="s">
        <v>511</v>
      </c>
    </row>
    <row r="238" spans="1:3">
      <c r="A238" t="str">
        <v>autres branches d'exploitation</v>
      </c>
      <c r="B238" s="500" t="s">
        <v>536</v>
      </c>
      <c r="C238" s="133" t="s">
        <v>515</v>
      </c>
    </row>
    <row r="239" spans="1:3">
      <c r="A239" t="str">
        <v>Surface</v>
      </c>
      <c r="B239" s="500" t="s">
        <v>537</v>
      </c>
      <c r="C239" s="133" t="s">
        <v>512</v>
      </c>
    </row>
    <row r="240" spans="1:3">
      <c r="A240" t="str">
        <v>Cultures</v>
      </c>
      <c r="B240" s="500" t="s">
        <v>538</v>
      </c>
      <c r="C240" s="133" t="s">
        <v>513</v>
      </c>
    </row>
    <row r="241" spans="1:3">
      <c r="A241">
        <v>0</v>
      </c>
      <c r="B241" s="133"/>
      <c r="C241" s="133"/>
    </row>
    <row r="242" spans="1:3">
      <c r="A242" t="str">
        <v>Culture de betteraves sucrières</v>
      </c>
      <c r="B242" s="500" t="s">
        <v>541</v>
      </c>
      <c r="C242" s="133" t="s">
        <v>516</v>
      </c>
    </row>
    <row r="243" spans="1:3">
      <c r="A243" t="str">
        <v xml:space="preserve">Méthode de semis </v>
      </c>
      <c r="B243" s="500" t="s">
        <v>542</v>
      </c>
      <c r="C243" s="133" t="s">
        <v>517</v>
      </c>
    </row>
    <row r="244" spans="1:3">
      <c r="A244" t="str">
        <v>Semis en place</v>
      </c>
      <c r="B244" s="500" t="s">
        <v>544</v>
      </c>
      <c r="C244" s="133" t="s">
        <v>518</v>
      </c>
    </row>
    <row r="245" spans="1:3">
      <c r="A245" t="str">
        <v>Semis à eclaircir</v>
      </c>
      <c r="B245" s="500" t="s">
        <v>545</v>
      </c>
      <c r="C245" s="133" t="s">
        <v>228</v>
      </c>
    </row>
    <row r="246" spans="1:3">
      <c r="A246" t="str">
        <v>plantons</v>
      </c>
      <c r="B246" s="500" t="s">
        <v>546</v>
      </c>
      <c r="C246" s="133" t="s">
        <v>519</v>
      </c>
    </row>
    <row r="247" spans="1:3">
      <c r="A247" t="str">
        <v>Rendement Composition</v>
      </c>
      <c r="B247" s="500" t="s">
        <v>543</v>
      </c>
      <c r="C247" s="133" t="s">
        <v>520</v>
      </c>
    </row>
    <row r="248" spans="1:3">
      <c r="A248" t="str">
        <v>Teneur moyenne en sucre</v>
      </c>
      <c r="B248" s="500" t="s">
        <v>547</v>
      </c>
      <c r="C248" s="133" t="s">
        <v>521</v>
      </c>
    </row>
    <row r="249" spans="1:3">
      <c r="A249" t="str">
        <v>Rendement sucre</v>
      </c>
      <c r="B249" s="500" t="s">
        <v>548</v>
      </c>
      <c r="C249" s="133" t="s">
        <v>522</v>
      </c>
    </row>
    <row r="250" spans="1:3">
      <c r="A250" t="str">
        <v>Eléments étrangers</v>
      </c>
      <c r="B250" s="500" t="s">
        <v>549</v>
      </c>
      <c r="C250" s="133" t="s">
        <v>523</v>
      </c>
    </row>
    <row r="251" spans="1:3">
      <c r="A251">
        <v>0</v>
      </c>
      <c r="B251" s="133"/>
      <c r="C251" s="133"/>
    </row>
    <row r="252" spans="1:3">
      <c r="A252" t="str">
        <v>Possibilité d'irrigation disponible</v>
      </c>
      <c r="B252" s="500" t="s">
        <v>552</v>
      </c>
      <c r="C252" s="133" t="s">
        <v>526</v>
      </c>
    </row>
    <row r="253" spans="1:3">
      <c r="A253" t="str">
        <v>oui</v>
      </c>
      <c r="B253" s="500" t="s">
        <v>550</v>
      </c>
      <c r="C253" s="133" t="s">
        <v>524</v>
      </c>
    </row>
    <row r="254" spans="1:3">
      <c r="A254" t="str">
        <v>non</v>
      </c>
      <c r="B254" s="500" t="s">
        <v>551</v>
      </c>
      <c r="C254" s="133" t="s">
        <v>525</v>
      </c>
    </row>
    <row r="255" spans="1:3">
      <c r="A255">
        <v>0</v>
      </c>
      <c r="B255" s="133"/>
      <c r="C255" s="133"/>
    </row>
    <row r="256" spans="1:3">
      <c r="A256" t="str">
        <v>Travaux de transport franco gare ou usine de betteraves sucrières</v>
      </c>
      <c r="B256" s="500" t="s">
        <v>553</v>
      </c>
      <c r="C256" s="133" t="s">
        <v>554</v>
      </c>
    </row>
    <row r="257" spans="1:3">
      <c r="A257" t="str">
        <v>oui</v>
      </c>
      <c r="B257" s="500" t="s">
        <v>550</v>
      </c>
      <c r="C257" s="133" t="s">
        <v>524</v>
      </c>
    </row>
    <row r="258" spans="1:3">
      <c r="A258" t="str">
        <v>non</v>
      </c>
      <c r="B258" s="500" t="s">
        <v>551</v>
      </c>
      <c r="C258" s="133" t="s">
        <v>525</v>
      </c>
    </row>
    <row r="259" spans="1:3">
      <c r="A259">
        <v>0</v>
      </c>
      <c r="B259" s="133"/>
      <c r="C259" s="133"/>
    </row>
    <row r="260" spans="1:3">
      <c r="A260" t="str">
        <v>Expérience en culture de betteraves sucrières</v>
      </c>
      <c r="B260" s="500" t="s">
        <v>555</v>
      </c>
      <c r="C260" s="133" t="s">
        <v>528</v>
      </c>
    </row>
    <row r="261" spans="1:3">
      <c r="A261" t="str">
        <v>Années</v>
      </c>
      <c r="B261" s="500" t="s">
        <v>556</v>
      </c>
      <c r="C261" s="133" t="s">
        <v>527</v>
      </c>
    </row>
    <row r="262" spans="1:3">
      <c r="A262">
        <v>0</v>
      </c>
      <c r="B262" s="133"/>
      <c r="C262" s="133"/>
    </row>
    <row r="263" spans="1:3">
      <c r="A263" t="str">
        <v>Quels sont vos principaux défis/problèmes de culture ?</v>
      </c>
      <c r="B263" s="500" t="s">
        <v>557</v>
      </c>
      <c r="C263" s="133" t="s">
        <v>529</v>
      </c>
    </row>
    <row r="264" spans="1:3">
      <c r="A264">
        <v>0</v>
      </c>
      <c r="B264" s="133"/>
      <c r="C264" s="133"/>
    </row>
    <row r="265" spans="1:3">
      <c r="A265" t="str">
        <v>Quels changements allez-vous apporter à la culture ?</v>
      </c>
      <c r="B265" s="500" t="s">
        <v>558</v>
      </c>
      <c r="C265" s="133" t="s">
        <v>530</v>
      </c>
    </row>
    <row r="266" spans="1:3">
      <c r="A266">
        <v>0</v>
      </c>
      <c r="B266" s="133"/>
      <c r="C266" s="133"/>
    </row>
    <row r="267" spans="1:3">
      <c r="A267" t="str">
        <v>Allez-vous continuer à cultiver des betteraves sucrières dans les années à venir ?</v>
      </c>
      <c r="B267" s="500" t="s">
        <v>559</v>
      </c>
      <c r="C267" s="133" t="s">
        <v>531</v>
      </c>
    </row>
    <row r="268" spans="1:3">
      <c r="A268" t="str">
        <v>Où se situe pour vous le « seuil de douleur » pour abandonner la culture ?</v>
      </c>
      <c r="B268" s="500" t="s">
        <v>560</v>
      </c>
      <c r="C268" s="133" t="s">
        <v>532</v>
      </c>
    </row>
    <row r="269" spans="1:3">
      <c r="A269">
        <v>0</v>
      </c>
      <c r="B269" s="133"/>
      <c r="C269" s="133"/>
    </row>
    <row r="270" spans="1:3">
      <c r="A270" t="str">
        <v>Vos besoins du côté de la vulgarisation / de la sélection / de l'association ?</v>
      </c>
      <c r="B270" s="500" t="s">
        <v>561</v>
      </c>
      <c r="C270" s="133" t="s">
        <v>533</v>
      </c>
    </row>
    <row r="271" spans="1:3">
      <c r="A271">
        <v>0</v>
      </c>
      <c r="B271" s="133"/>
      <c r="C271" s="133"/>
    </row>
    <row r="272" spans="1:3">
      <c r="A272" t="str">
        <v>Autres remarques</v>
      </c>
      <c r="B272" s="500" t="s">
        <v>562</v>
      </c>
      <c r="C272" s="133" t="s">
        <v>534</v>
      </c>
    </row>
    <row r="273" spans="1:3">
      <c r="A273">
        <v>0</v>
      </c>
      <c r="B273" s="133"/>
      <c r="C273" s="133"/>
    </row>
    <row r="274" spans="1:3">
      <c r="A274" t="str">
        <v>Autres contributions</v>
      </c>
      <c r="B274" s="133" t="s">
        <v>568</v>
      </c>
      <c r="C274" s="133" t="s">
        <v>569</v>
      </c>
    </row>
    <row r="275" spans="1:3">
      <c r="A275">
        <v>0</v>
      </c>
      <c r="B275" s="133"/>
      <c r="C275" s="133"/>
    </row>
    <row r="276" spans="1:3">
      <c r="A276">
        <v>0</v>
      </c>
      <c r="B276" s="133"/>
      <c r="C276" s="133"/>
    </row>
    <row r="277" spans="1:3">
      <c r="A277">
        <v>0</v>
      </c>
      <c r="B277" s="133"/>
      <c r="C277" s="133"/>
    </row>
    <row r="278" spans="1:3">
      <c r="A278">
        <v>0</v>
      </c>
      <c r="B278" s="133"/>
      <c r="C278" s="133"/>
    </row>
    <row r="279" spans="1:3">
      <c r="A279">
        <v>0</v>
      </c>
      <c r="B279" s="133"/>
      <c r="C279" s="133"/>
    </row>
    <row r="280" spans="1:3">
      <c r="A280">
        <v>0</v>
      </c>
      <c r="B280" s="133"/>
      <c r="C280" s="133"/>
    </row>
    <row r="281" spans="1:3">
      <c r="A281">
        <v>0</v>
      </c>
      <c r="B281" s="133"/>
      <c r="C281" s="133"/>
    </row>
    <row r="282" spans="1:3">
      <c r="A282">
        <v>0</v>
      </c>
      <c r="B282" s="133"/>
      <c r="C282" s="133"/>
    </row>
    <row r="283" spans="1:3">
      <c r="A283">
        <v>0</v>
      </c>
      <c r="B283" s="133"/>
      <c r="C283" s="133"/>
    </row>
    <row r="284" spans="1:3">
      <c r="A284">
        <v>0</v>
      </c>
      <c r="B284" s="133"/>
      <c r="C284" s="133"/>
    </row>
    <row r="285" spans="1:3">
      <c r="A285">
        <v>0</v>
      </c>
      <c r="B285" s="133"/>
      <c r="C285" s="133"/>
    </row>
    <row r="286" spans="1:3">
      <c r="A286">
        <v>0</v>
      </c>
      <c r="B286" s="133"/>
      <c r="C286" s="133"/>
    </row>
    <row r="287" spans="1:3">
      <c r="A287">
        <v>0</v>
      </c>
      <c r="B287" s="133"/>
      <c r="C287" s="133"/>
    </row>
    <row r="288" spans="1:3">
      <c r="A288">
        <v>0</v>
      </c>
      <c r="B288" s="133"/>
      <c r="C288" s="133"/>
    </row>
    <row r="289" spans="1:3">
      <c r="A289">
        <v>0</v>
      </c>
      <c r="B289" s="133"/>
      <c r="C289" s="133"/>
    </row>
    <row r="290" spans="1:3">
      <c r="A290">
        <v>0</v>
      </c>
      <c r="B290" s="133"/>
      <c r="C290" s="133"/>
    </row>
    <row r="291" spans="1:3">
      <c r="A291">
        <v>0</v>
      </c>
      <c r="B291" s="133"/>
      <c r="C291" s="133"/>
    </row>
    <row r="292" spans="1:3">
      <c r="A292">
        <v>0</v>
      </c>
      <c r="B292" s="133"/>
      <c r="C292" s="133"/>
    </row>
    <row r="293" spans="1:3">
      <c r="A293">
        <v>0</v>
      </c>
      <c r="B293" s="133"/>
      <c r="C293" s="133"/>
    </row>
    <row r="294" spans="1:3">
      <c r="A294">
        <v>0</v>
      </c>
      <c r="B294" s="133"/>
      <c r="C294" s="133"/>
    </row>
    <row r="295" spans="1:3">
      <c r="A295">
        <v>0</v>
      </c>
      <c r="B295" s="133"/>
      <c r="C295" s="133"/>
    </row>
    <row r="296" spans="1:3">
      <c r="A296">
        <v>0</v>
      </c>
      <c r="B296" s="133"/>
      <c r="C296" s="133"/>
    </row>
    <row r="297" spans="1:3">
      <c r="A297">
        <v>0</v>
      </c>
      <c r="B297" s="133"/>
      <c r="C297" s="133"/>
    </row>
    <row r="298" spans="1:3">
      <c r="A298">
        <v>0</v>
      </c>
      <c r="B298" s="133"/>
      <c r="C298" s="133"/>
    </row>
    <row r="299" spans="1:3">
      <c r="A299">
        <v>0</v>
      </c>
      <c r="B299" s="133"/>
      <c r="C299" s="133"/>
    </row>
    <row r="300" spans="1:3">
      <c r="A300">
        <v>0</v>
      </c>
      <c r="B300" s="133"/>
      <c r="C300" s="133"/>
    </row>
    <row r="301" spans="1:3">
      <c r="A301">
        <v>0</v>
      </c>
      <c r="B301" s="133"/>
      <c r="C301" s="133"/>
    </row>
    <row r="302" spans="1:3">
      <c r="A302">
        <v>0</v>
      </c>
      <c r="B302" s="133"/>
      <c r="C302" s="133"/>
    </row>
    <row r="303" spans="1:3">
      <c r="A303">
        <v>0</v>
      </c>
      <c r="B303" s="133"/>
      <c r="C303" s="133"/>
    </row>
    <row r="304" spans="1:3">
      <c r="A304">
        <v>0</v>
      </c>
      <c r="B304" s="133"/>
      <c r="C304" s="133"/>
    </row>
    <row r="305" spans="1:3">
      <c r="A305">
        <v>0</v>
      </c>
      <c r="B305" s="133"/>
      <c r="C305" s="133"/>
    </row>
    <row r="306" spans="1:3">
      <c r="A306">
        <v>0</v>
      </c>
      <c r="B306" s="133"/>
      <c r="C306" s="133"/>
    </row>
    <row r="307" spans="1:3">
      <c r="A307">
        <v>0</v>
      </c>
      <c r="B307" s="133"/>
      <c r="C307" s="133"/>
    </row>
    <row r="308" spans="1:3">
      <c r="A308">
        <v>0</v>
      </c>
      <c r="B308" s="133"/>
      <c r="C308" s="133"/>
    </row>
    <row r="309" spans="1:3">
      <c r="A309">
        <v>0</v>
      </c>
      <c r="B309" s="133"/>
      <c r="C309" s="133"/>
    </row>
    <row r="310" spans="1:3">
      <c r="A310">
        <v>0</v>
      </c>
      <c r="B310" s="133"/>
      <c r="C310" s="133"/>
    </row>
    <row r="311" spans="1:3">
      <c r="A311">
        <v>0</v>
      </c>
      <c r="B311" s="133"/>
      <c r="C311" s="133"/>
    </row>
    <row r="312" spans="1:3">
      <c r="A312">
        <v>0</v>
      </c>
      <c r="B312" s="133"/>
      <c r="C312" s="133"/>
    </row>
    <row r="313" spans="1:3">
      <c r="A313">
        <v>0</v>
      </c>
      <c r="B313" s="133"/>
      <c r="C313" s="133"/>
    </row>
    <row r="314" spans="1:3">
      <c r="A314">
        <v>0</v>
      </c>
      <c r="B314" s="133"/>
      <c r="C314" s="133"/>
    </row>
    <row r="315" spans="1:3">
      <c r="A315">
        <v>0</v>
      </c>
      <c r="B315" s="133"/>
      <c r="C315" s="133"/>
    </row>
    <row r="316" spans="1:3">
      <c r="A316">
        <v>0</v>
      </c>
      <c r="B316" s="133"/>
      <c r="C316" s="133"/>
    </row>
    <row r="317" spans="1:3">
      <c r="A317">
        <v>0</v>
      </c>
      <c r="B317" s="133"/>
      <c r="C317" s="133"/>
    </row>
    <row r="318" spans="1:3">
      <c r="A318">
        <v>0</v>
      </c>
      <c r="B318" s="133"/>
      <c r="C318" s="133"/>
    </row>
    <row r="319" spans="1:3">
      <c r="A319">
        <v>0</v>
      </c>
      <c r="B319" s="133"/>
      <c r="C319" s="133"/>
    </row>
    <row r="320" spans="1:3">
      <c r="A320">
        <v>0</v>
      </c>
      <c r="B320" s="133"/>
      <c r="C320" s="133"/>
    </row>
    <row r="321" spans="1:3">
      <c r="A321">
        <v>0</v>
      </c>
      <c r="B321" s="133"/>
      <c r="C321" s="133"/>
    </row>
    <row r="322" spans="1:3">
      <c r="A322">
        <v>0</v>
      </c>
      <c r="B322" s="133"/>
      <c r="C322" s="133"/>
    </row>
    <row r="323" spans="1:3">
      <c r="A323">
        <v>0</v>
      </c>
      <c r="B323" s="133"/>
      <c r="C323" s="133"/>
    </row>
    <row r="324" spans="1:3">
      <c r="A324">
        <v>0</v>
      </c>
      <c r="B324" s="133"/>
      <c r="C324" s="133"/>
    </row>
    <row r="325" spans="1:3">
      <c r="A325">
        <v>0</v>
      </c>
      <c r="B325" s="133"/>
      <c r="C325" s="133"/>
    </row>
    <row r="326" spans="1:3">
      <c r="A326">
        <v>0</v>
      </c>
      <c r="B326" s="133"/>
      <c r="C326" s="133"/>
    </row>
    <row r="327" spans="1:3">
      <c r="A327">
        <v>0</v>
      </c>
      <c r="B327" s="133"/>
      <c r="C327" s="133"/>
    </row>
    <row r="328" spans="1:3">
      <c r="A328">
        <v>0</v>
      </c>
      <c r="B328" s="133"/>
      <c r="C328" s="133"/>
    </row>
    <row r="329" spans="1:3">
      <c r="A329">
        <v>0</v>
      </c>
      <c r="B329" s="133"/>
      <c r="C329" s="133"/>
    </row>
    <row r="330" spans="1:3">
      <c r="A330">
        <v>0</v>
      </c>
      <c r="B330" s="133"/>
      <c r="C330" s="133"/>
    </row>
    <row r="331" spans="1:3">
      <c r="A331">
        <v>0</v>
      </c>
      <c r="B331" s="133"/>
      <c r="C331" s="133"/>
    </row>
    <row r="332" spans="1:3">
      <c r="A332">
        <v>0</v>
      </c>
      <c r="B332" s="133"/>
      <c r="C332" s="133"/>
    </row>
    <row r="333" spans="1:3">
      <c r="A333">
        <v>0</v>
      </c>
      <c r="B333" s="133"/>
      <c r="C333" s="133"/>
    </row>
    <row r="334" spans="1:3">
      <c r="A334">
        <v>0</v>
      </c>
      <c r="B334" s="133"/>
      <c r="C334" s="133"/>
    </row>
    <row r="335" spans="1:3">
      <c r="A335">
        <v>0</v>
      </c>
      <c r="B335" s="133"/>
      <c r="C335" s="133"/>
    </row>
    <row r="336" spans="1:3">
      <c r="A336">
        <v>0</v>
      </c>
      <c r="B336" s="133"/>
      <c r="C336" s="133"/>
    </row>
    <row r="337" spans="1:3">
      <c r="A337">
        <v>0</v>
      </c>
      <c r="B337" s="133"/>
      <c r="C337" s="133"/>
    </row>
    <row r="338" spans="1:3">
      <c r="A338">
        <v>0</v>
      </c>
      <c r="B338" s="133"/>
      <c r="C338" s="133"/>
    </row>
    <row r="339" spans="1:3">
      <c r="A339">
        <v>0</v>
      </c>
      <c r="B339" s="133"/>
      <c r="C339" s="133"/>
    </row>
    <row r="340" spans="1:3">
      <c r="A340">
        <v>0</v>
      </c>
      <c r="B340" s="133"/>
      <c r="C340" s="133"/>
    </row>
    <row r="341" spans="1:3">
      <c r="A341">
        <v>0</v>
      </c>
      <c r="B341" s="133"/>
      <c r="C341" s="133"/>
    </row>
    <row r="342" spans="1:3">
      <c r="A342">
        <v>0</v>
      </c>
      <c r="B342" s="133"/>
      <c r="C342" s="133"/>
    </row>
    <row r="343" spans="1:3">
      <c r="A343">
        <v>0</v>
      </c>
      <c r="B343" s="133"/>
      <c r="C343" s="133"/>
    </row>
    <row r="344" spans="1:3">
      <c r="A344">
        <v>0</v>
      </c>
      <c r="B344" s="133"/>
      <c r="C344" s="133"/>
    </row>
    <row r="345" spans="1:3">
      <c r="A345">
        <v>0</v>
      </c>
      <c r="B345" s="133"/>
      <c r="C345" s="133"/>
    </row>
    <row r="346" spans="1:3">
      <c r="A346">
        <v>0</v>
      </c>
      <c r="B346" s="133"/>
      <c r="C346" s="133"/>
    </row>
    <row r="347" spans="1:3">
      <c r="A347">
        <v>0</v>
      </c>
      <c r="B347" s="133"/>
      <c r="C347" s="133"/>
    </row>
    <row r="348" spans="1:3">
      <c r="A348">
        <v>0</v>
      </c>
      <c r="B348" s="133"/>
      <c r="C348" s="133"/>
    </row>
    <row r="349" spans="1:3">
      <c r="A349">
        <v>0</v>
      </c>
      <c r="B349" s="133"/>
      <c r="C349" s="133"/>
    </row>
    <row r="350" spans="1:3">
      <c r="A350">
        <v>0</v>
      </c>
      <c r="B350" s="133"/>
      <c r="C350" s="133"/>
    </row>
    <row r="351" spans="1:3">
      <c r="A351">
        <v>0</v>
      </c>
      <c r="B351" s="133"/>
      <c r="C351" s="133"/>
    </row>
    <row r="352" spans="1:3">
      <c r="A352">
        <v>0</v>
      </c>
      <c r="B352" s="133"/>
      <c r="C352" s="133"/>
    </row>
    <row r="353" spans="1:3">
      <c r="A353">
        <v>0</v>
      </c>
      <c r="B353" s="133"/>
      <c r="C353" s="133"/>
    </row>
    <row r="354" spans="1:3">
      <c r="A354">
        <v>0</v>
      </c>
      <c r="B354" s="133"/>
      <c r="C354" s="133"/>
    </row>
    <row r="355" spans="1:3">
      <c r="A355">
        <v>0</v>
      </c>
      <c r="B355" s="133"/>
      <c r="C355" s="133"/>
    </row>
    <row r="356" spans="1:3">
      <c r="A356">
        <v>0</v>
      </c>
      <c r="B356" s="133"/>
      <c r="C356" s="133"/>
    </row>
    <row r="357" spans="1:3">
      <c r="A357">
        <v>0</v>
      </c>
      <c r="B357" s="133"/>
      <c r="C357" s="133"/>
    </row>
    <row r="358" spans="1:3">
      <c r="A358">
        <v>0</v>
      </c>
      <c r="B358" s="133"/>
      <c r="C358" s="133"/>
    </row>
    <row r="359" spans="1:3">
      <c r="A359">
        <v>0</v>
      </c>
      <c r="B359" s="133"/>
      <c r="C359" s="133"/>
    </row>
    <row r="360" spans="1:3">
      <c r="A360">
        <v>0</v>
      </c>
      <c r="B360" s="133"/>
      <c r="C360" s="133"/>
    </row>
    <row r="361" spans="1:3">
      <c r="A361">
        <v>0</v>
      </c>
      <c r="B361" s="133"/>
      <c r="C361" s="133"/>
    </row>
    <row r="362" spans="1:3">
      <c r="A362">
        <v>0</v>
      </c>
      <c r="B362" s="133"/>
      <c r="C362" s="133"/>
    </row>
    <row r="363" spans="1:3">
      <c r="A363">
        <v>0</v>
      </c>
      <c r="B363" s="133"/>
      <c r="C363" s="133"/>
    </row>
    <row r="364" spans="1:3">
      <c r="A364">
        <v>0</v>
      </c>
      <c r="B364" s="133"/>
      <c r="C364" s="133"/>
    </row>
    <row r="365" spans="1:3">
      <c r="A365">
        <v>0</v>
      </c>
      <c r="B365" s="133"/>
      <c r="C365" s="133"/>
    </row>
    <row r="366" spans="1:3">
      <c r="A366">
        <v>0</v>
      </c>
      <c r="B366" s="133"/>
      <c r="C366" s="133"/>
    </row>
    <row r="367" spans="1:3">
      <c r="A367">
        <v>0</v>
      </c>
      <c r="B367" s="133"/>
      <c r="C367" s="133"/>
    </row>
    <row r="368" spans="1:3">
      <c r="A368">
        <v>0</v>
      </c>
      <c r="B368" s="133"/>
      <c r="C368" s="133"/>
    </row>
    <row r="369" spans="1:3">
      <c r="A369">
        <v>0</v>
      </c>
      <c r="B369" s="133"/>
      <c r="C369" s="133"/>
    </row>
    <row r="370" spans="1:3">
      <c r="A370">
        <v>0</v>
      </c>
      <c r="B370" s="133"/>
      <c r="C370" s="133"/>
    </row>
    <row r="371" spans="1:3">
      <c r="A371">
        <v>0</v>
      </c>
      <c r="B371" s="133"/>
      <c r="C371" s="133"/>
    </row>
    <row r="372" spans="1:3">
      <c r="A372">
        <v>0</v>
      </c>
      <c r="B372" s="133"/>
      <c r="C372" s="133"/>
    </row>
    <row r="373" spans="1:3">
      <c r="A373">
        <v>0</v>
      </c>
      <c r="B373" s="133"/>
      <c r="C373" s="133"/>
    </row>
    <row r="374" spans="1:3">
      <c r="A374">
        <v>0</v>
      </c>
      <c r="B374" s="133"/>
      <c r="C374" s="133"/>
    </row>
    <row r="375" spans="1:3">
      <c r="A375">
        <v>0</v>
      </c>
      <c r="B375" s="133"/>
      <c r="C375" s="133"/>
    </row>
    <row r="376" spans="1:3">
      <c r="A376">
        <v>0</v>
      </c>
      <c r="B376" s="133"/>
      <c r="C376" s="133"/>
    </row>
    <row r="377" spans="1:3">
      <c r="A377">
        <v>0</v>
      </c>
      <c r="B377" s="133"/>
      <c r="C377" s="133"/>
    </row>
    <row r="378" spans="1:3">
      <c r="A378">
        <v>0</v>
      </c>
      <c r="B378" s="133"/>
      <c r="C378" s="133"/>
    </row>
    <row r="379" spans="1:3">
      <c r="A379">
        <v>0</v>
      </c>
      <c r="B379" s="133"/>
      <c r="C379" s="133"/>
    </row>
    <row r="380" spans="1:3">
      <c r="A380">
        <v>0</v>
      </c>
      <c r="B380" s="133"/>
      <c r="C380" s="133"/>
    </row>
    <row r="381" spans="1:3">
      <c r="A381">
        <v>0</v>
      </c>
      <c r="B381" s="133"/>
      <c r="C381" s="133"/>
    </row>
    <row r="382" spans="1:3">
      <c r="A382">
        <v>0</v>
      </c>
      <c r="B382" s="133"/>
      <c r="C382" s="133"/>
    </row>
    <row r="383" spans="1:3">
      <c r="A383">
        <v>0</v>
      </c>
      <c r="B383" s="133"/>
      <c r="C383" s="133"/>
    </row>
    <row r="384" spans="1:3">
      <c r="A384">
        <v>0</v>
      </c>
      <c r="B384" s="133"/>
      <c r="C384" s="133"/>
    </row>
    <row r="385" spans="1:3">
      <c r="A385">
        <v>0</v>
      </c>
      <c r="B385" s="133"/>
      <c r="C385" s="133"/>
    </row>
    <row r="386" spans="1:3">
      <c r="A386">
        <v>0</v>
      </c>
      <c r="B386" s="133"/>
      <c r="C386" s="133"/>
    </row>
    <row r="387" spans="1:3">
      <c r="A387">
        <v>0</v>
      </c>
      <c r="B387" s="133"/>
      <c r="C387" s="133"/>
    </row>
    <row r="388" spans="1:3">
      <c r="A388">
        <v>0</v>
      </c>
      <c r="B388" s="133"/>
      <c r="C388" s="133"/>
    </row>
    <row r="389" spans="1:3">
      <c r="A389">
        <v>0</v>
      </c>
      <c r="B389" s="133"/>
      <c r="C389" s="133"/>
    </row>
    <row r="390" spans="1:3">
      <c r="A390">
        <v>0</v>
      </c>
      <c r="B390" s="133"/>
      <c r="C390" s="133"/>
    </row>
    <row r="391" spans="1:3">
      <c r="A391">
        <v>0</v>
      </c>
      <c r="B391" s="133"/>
      <c r="C391" s="133"/>
    </row>
    <row r="392" spans="1:3">
      <c r="A392">
        <v>0</v>
      </c>
      <c r="B392" s="133"/>
      <c r="C392" s="133"/>
    </row>
    <row r="393" spans="1:3">
      <c r="A393">
        <v>0</v>
      </c>
      <c r="B393" s="133"/>
      <c r="C393" s="133"/>
    </row>
    <row r="394" spans="1:3">
      <c r="A394">
        <v>0</v>
      </c>
      <c r="B394" s="133"/>
      <c r="C394" s="133"/>
    </row>
    <row r="395" spans="1:3">
      <c r="A395">
        <v>0</v>
      </c>
      <c r="B395" s="133"/>
      <c r="C395" s="133"/>
    </row>
    <row r="396" spans="1:3">
      <c r="A396">
        <v>0</v>
      </c>
      <c r="B396" s="133"/>
      <c r="C396" s="133"/>
    </row>
    <row r="397" spans="1:3">
      <c r="A397">
        <v>0</v>
      </c>
      <c r="B397" s="133"/>
      <c r="C397" s="133"/>
    </row>
    <row r="398" spans="1:3">
      <c r="A398">
        <v>0</v>
      </c>
      <c r="B398" s="133"/>
      <c r="C398" s="133"/>
    </row>
    <row r="399" spans="1:3">
      <c r="A399">
        <v>0</v>
      </c>
      <c r="B399" s="133"/>
      <c r="C399" s="133"/>
    </row>
    <row r="400" spans="1:3">
      <c r="A400">
        <v>0</v>
      </c>
      <c r="B400" s="133"/>
      <c r="C400" s="133"/>
    </row>
    <row r="401" spans="1:3">
      <c r="A401">
        <v>0</v>
      </c>
      <c r="B401" s="133"/>
      <c r="C401" s="133"/>
    </row>
    <row r="402" spans="1:3">
      <c r="A402">
        <v>0</v>
      </c>
      <c r="B402" s="133"/>
      <c r="C402" s="133"/>
    </row>
    <row r="403" spans="1:3">
      <c r="A403">
        <v>0</v>
      </c>
      <c r="B403" s="133"/>
      <c r="C403" s="133"/>
    </row>
    <row r="404" spans="1:3">
      <c r="A404">
        <v>0</v>
      </c>
      <c r="B404" s="133"/>
      <c r="C404" s="133"/>
    </row>
    <row r="405" spans="1:3">
      <c r="A405">
        <v>0</v>
      </c>
      <c r="B405" s="133"/>
      <c r="C405" s="133"/>
    </row>
    <row r="406" spans="1:3">
      <c r="A406">
        <v>0</v>
      </c>
      <c r="B406" s="133"/>
      <c r="C406" s="133"/>
    </row>
    <row r="407" spans="1:3">
      <c r="A407">
        <v>0</v>
      </c>
      <c r="B407" s="133"/>
      <c r="C407" s="133"/>
    </row>
    <row r="408" spans="1:3">
      <c r="A408">
        <v>0</v>
      </c>
      <c r="B408" s="133"/>
      <c r="C408" s="133"/>
    </row>
    <row r="409" spans="1:3">
      <c r="A409">
        <v>0</v>
      </c>
      <c r="B409" s="133"/>
      <c r="C409" s="133"/>
    </row>
    <row r="410" spans="1:3">
      <c r="A410">
        <v>0</v>
      </c>
      <c r="B410" s="133"/>
      <c r="C410" s="133"/>
    </row>
    <row r="411" spans="1:3">
      <c r="A411">
        <v>0</v>
      </c>
      <c r="B411" s="133"/>
      <c r="C411" s="133"/>
    </row>
    <row r="412" spans="1:3">
      <c r="A412">
        <v>0</v>
      </c>
      <c r="B412" s="133"/>
      <c r="C412" s="133"/>
    </row>
    <row r="413" spans="1:3">
      <c r="A413">
        <v>0</v>
      </c>
      <c r="B413" s="133"/>
      <c r="C413" s="133"/>
    </row>
    <row r="414" spans="1:3">
      <c r="A414">
        <v>0</v>
      </c>
      <c r="B414" s="133"/>
      <c r="C414" s="133"/>
    </row>
    <row r="415" spans="1:3">
      <c r="A415">
        <v>0</v>
      </c>
      <c r="B415" s="133"/>
      <c r="C415" s="133"/>
    </row>
    <row r="416" spans="1:3">
      <c r="A416">
        <v>0</v>
      </c>
      <c r="B416" s="133"/>
      <c r="C416" s="133"/>
    </row>
    <row r="417" spans="1:3">
      <c r="A417">
        <v>0</v>
      </c>
      <c r="B417" s="133"/>
      <c r="C417" s="133"/>
    </row>
    <row r="418" spans="1:3">
      <c r="A418">
        <v>0</v>
      </c>
      <c r="B418" s="133"/>
      <c r="C418" s="133"/>
    </row>
    <row r="419" spans="1:3">
      <c r="A419">
        <v>0</v>
      </c>
      <c r="B419" s="133"/>
      <c r="C419" s="133"/>
    </row>
    <row r="420" spans="1:3">
      <c r="A420">
        <v>0</v>
      </c>
      <c r="B420" s="133"/>
      <c r="C420" s="133"/>
    </row>
    <row r="421" spans="1:3">
      <c r="A421">
        <v>0</v>
      </c>
      <c r="B421" s="133"/>
      <c r="C421" s="133"/>
    </row>
    <row r="422" spans="1:3">
      <c r="A422">
        <v>0</v>
      </c>
      <c r="B422" s="133"/>
      <c r="C422" s="133"/>
    </row>
    <row r="423" spans="1:3">
      <c r="A423">
        <v>0</v>
      </c>
      <c r="B423" s="133"/>
      <c r="C423" s="133"/>
    </row>
    <row r="424" spans="1:3">
      <c r="A424">
        <v>0</v>
      </c>
      <c r="B424" s="133"/>
      <c r="C424" s="133"/>
    </row>
    <row r="425" spans="1:3">
      <c r="A425">
        <v>0</v>
      </c>
      <c r="B425" s="133"/>
      <c r="C425" s="133"/>
    </row>
    <row r="426" spans="1:3">
      <c r="A426">
        <v>0</v>
      </c>
      <c r="B426" s="133"/>
      <c r="C426" s="133"/>
    </row>
    <row r="427" spans="1:3">
      <c r="A427">
        <v>0</v>
      </c>
      <c r="B427" s="133"/>
      <c r="C427" s="133"/>
    </row>
    <row r="428" spans="1:3">
      <c r="A428">
        <v>0</v>
      </c>
      <c r="B428" s="133"/>
      <c r="C428" s="133"/>
    </row>
    <row r="429" spans="1:3">
      <c r="A429">
        <v>0</v>
      </c>
      <c r="B429" s="133"/>
      <c r="C429" s="133"/>
    </row>
    <row r="430" spans="1:3">
      <c r="A430">
        <v>0</v>
      </c>
      <c r="B430" s="133"/>
      <c r="C430" s="133"/>
    </row>
    <row r="431" spans="1:3">
      <c r="A431">
        <v>0</v>
      </c>
      <c r="B431" s="133"/>
      <c r="C431" s="133"/>
    </row>
    <row r="432" spans="1:3">
      <c r="A432">
        <v>0</v>
      </c>
      <c r="B432" s="133"/>
      <c r="C432" s="133"/>
    </row>
    <row r="433" spans="1:3">
      <c r="A433">
        <v>0</v>
      </c>
      <c r="B433" s="133"/>
      <c r="C433" s="133"/>
    </row>
    <row r="434" spans="1:3">
      <c r="A434">
        <v>0</v>
      </c>
      <c r="B434" s="133"/>
      <c r="C434" s="133"/>
    </row>
    <row r="435" spans="1:3">
      <c r="A435">
        <v>0</v>
      </c>
      <c r="B435" s="133"/>
      <c r="C435" s="133"/>
    </row>
    <row r="436" spans="1:3">
      <c r="A436">
        <v>0</v>
      </c>
      <c r="B436" s="133"/>
      <c r="C436" s="133"/>
    </row>
    <row r="437" spans="1:3">
      <c r="A437">
        <v>0</v>
      </c>
      <c r="B437" s="133"/>
      <c r="C437" s="133"/>
    </row>
    <row r="438" spans="1:3">
      <c r="A438">
        <v>0</v>
      </c>
      <c r="B438" s="133"/>
      <c r="C438" s="133"/>
    </row>
    <row r="439" spans="1:3">
      <c r="A439">
        <v>0</v>
      </c>
      <c r="B439" s="133"/>
      <c r="C439" s="133"/>
    </row>
    <row r="440" spans="1:3">
      <c r="A440">
        <v>0</v>
      </c>
      <c r="B440" s="133"/>
      <c r="C440" s="133"/>
    </row>
    <row r="441" spans="1:3">
      <c r="A441">
        <v>0</v>
      </c>
      <c r="B441" s="133"/>
      <c r="C441" s="133"/>
    </row>
    <row r="442" spans="1:3">
      <c r="A442">
        <v>0</v>
      </c>
      <c r="B442" s="133"/>
      <c r="C442" s="133"/>
    </row>
    <row r="443" spans="1:3">
      <c r="A443">
        <v>0</v>
      </c>
      <c r="B443" s="133"/>
      <c r="C443" s="133"/>
    </row>
    <row r="444" spans="1:3">
      <c r="A444">
        <v>0</v>
      </c>
      <c r="B444" s="133"/>
      <c r="C444" s="133"/>
    </row>
    <row r="445" spans="1:3">
      <c r="A445">
        <v>0</v>
      </c>
      <c r="B445" s="133"/>
      <c r="C445" s="133"/>
    </row>
    <row r="446" spans="1:3">
      <c r="A446">
        <v>0</v>
      </c>
      <c r="B446" s="133"/>
      <c r="C446" s="133"/>
    </row>
    <row r="447" spans="1:3">
      <c r="A447">
        <v>0</v>
      </c>
      <c r="B447" s="133"/>
      <c r="C447" s="133"/>
    </row>
    <row r="448" spans="1:3">
      <c r="A448">
        <v>0</v>
      </c>
      <c r="B448" s="133"/>
      <c r="C448" s="133"/>
    </row>
    <row r="449" spans="1:3">
      <c r="A449">
        <v>0</v>
      </c>
      <c r="B449" s="133"/>
      <c r="C449" s="133"/>
    </row>
    <row r="450" spans="1:3">
      <c r="A450">
        <v>0</v>
      </c>
      <c r="B450" s="133"/>
      <c r="C450" s="133"/>
    </row>
    <row r="451" spans="1:3">
      <c r="A451">
        <v>0</v>
      </c>
      <c r="B451" s="133"/>
      <c r="C451" s="133"/>
    </row>
    <row r="452" spans="1:3">
      <c r="A452">
        <v>0</v>
      </c>
      <c r="B452" s="133"/>
      <c r="C452" s="133"/>
    </row>
    <row r="453" spans="1:3">
      <c r="A453">
        <v>0</v>
      </c>
      <c r="B453" s="133"/>
      <c r="C453" s="133"/>
    </row>
    <row r="454" spans="1:3">
      <c r="A454">
        <v>0</v>
      </c>
      <c r="B454" s="133"/>
      <c r="C454" s="133"/>
    </row>
    <row r="455" spans="1:3">
      <c r="A455">
        <v>0</v>
      </c>
      <c r="B455" s="133"/>
      <c r="C455" s="133"/>
    </row>
    <row r="456" spans="1:3">
      <c r="A456">
        <v>0</v>
      </c>
      <c r="B456" s="133"/>
      <c r="C456" s="133"/>
    </row>
    <row r="457" spans="1:3">
      <c r="A457">
        <v>0</v>
      </c>
      <c r="B457" s="133"/>
      <c r="C457" s="133"/>
    </row>
    <row r="458" spans="1:3">
      <c r="A458">
        <v>0</v>
      </c>
      <c r="B458" s="133"/>
      <c r="C458" s="133"/>
    </row>
    <row r="459" spans="1:3">
      <c r="A459">
        <v>0</v>
      </c>
      <c r="B459" s="133"/>
      <c r="C459" s="133"/>
    </row>
    <row r="460" spans="1:3">
      <c r="A460">
        <v>0</v>
      </c>
      <c r="B460" s="133"/>
      <c r="C460" s="133"/>
    </row>
    <row r="461" spans="1:3">
      <c r="A461">
        <v>0</v>
      </c>
      <c r="B461" s="133"/>
      <c r="C461" s="133"/>
    </row>
    <row r="462" spans="1:3">
      <c r="A462">
        <v>0</v>
      </c>
      <c r="B462" s="133"/>
      <c r="C462" s="133"/>
    </row>
    <row r="463" spans="1:3">
      <c r="A463">
        <v>0</v>
      </c>
      <c r="B463" s="133"/>
      <c r="C463" s="133"/>
    </row>
    <row r="464" spans="1:3">
      <c r="A464">
        <v>0</v>
      </c>
      <c r="B464" s="133"/>
      <c r="C464" s="133"/>
    </row>
    <row r="465" spans="1:3">
      <c r="A465">
        <v>0</v>
      </c>
      <c r="B465" s="133"/>
      <c r="C465" s="133"/>
    </row>
    <row r="466" spans="1:3">
      <c r="A466">
        <v>0</v>
      </c>
      <c r="B466" s="133"/>
      <c r="C466" s="133"/>
    </row>
    <row r="467" spans="1:3">
      <c r="A467">
        <v>0</v>
      </c>
      <c r="B467" s="133"/>
      <c r="C467" s="133"/>
    </row>
    <row r="468" spans="1:3">
      <c r="A468">
        <v>0</v>
      </c>
      <c r="B468" s="133"/>
      <c r="C468" s="133"/>
    </row>
    <row r="469" spans="1:3">
      <c r="A469">
        <v>0</v>
      </c>
      <c r="B469" s="133"/>
      <c r="C469" s="133"/>
    </row>
    <row r="470" spans="1:3">
      <c r="A470">
        <v>0</v>
      </c>
      <c r="B470" s="133"/>
      <c r="C470" s="133"/>
    </row>
    <row r="471" spans="1:3">
      <c r="A471">
        <v>0</v>
      </c>
      <c r="B471" s="133"/>
      <c r="C471" s="133"/>
    </row>
    <row r="472" spans="1:3">
      <c r="A472">
        <v>0</v>
      </c>
      <c r="B472" s="133"/>
      <c r="C472" s="133"/>
    </row>
    <row r="473" spans="1:3">
      <c r="A473">
        <v>0</v>
      </c>
      <c r="B473" s="133"/>
      <c r="C473" s="133"/>
    </row>
    <row r="474" spans="1:3">
      <c r="A474">
        <v>0</v>
      </c>
      <c r="B474" s="133"/>
      <c r="C474" s="133"/>
    </row>
    <row r="475" spans="1:3">
      <c r="A475">
        <v>0</v>
      </c>
      <c r="B475" s="133"/>
      <c r="C475" s="133"/>
    </row>
    <row r="476" spans="1:3">
      <c r="A476">
        <v>0</v>
      </c>
      <c r="B476" s="133"/>
      <c r="C476" s="133"/>
    </row>
    <row r="477" spans="1:3">
      <c r="A477">
        <v>0</v>
      </c>
      <c r="B477" s="133"/>
      <c r="C477" s="133"/>
    </row>
    <row r="478" spans="1:3">
      <c r="A478">
        <v>0</v>
      </c>
      <c r="B478" s="133"/>
      <c r="C478" s="133"/>
    </row>
    <row r="479" spans="1:3">
      <c r="A479">
        <v>0</v>
      </c>
      <c r="B479" s="133"/>
      <c r="C479" s="133"/>
    </row>
    <row r="480" spans="1:3">
      <c r="A480">
        <v>0</v>
      </c>
      <c r="B480" s="133"/>
      <c r="C480" s="133"/>
    </row>
    <row r="481" spans="1:3">
      <c r="A481">
        <v>0</v>
      </c>
      <c r="B481" s="133"/>
      <c r="C481" s="133"/>
    </row>
    <row r="482" spans="1:3">
      <c r="A482">
        <v>0</v>
      </c>
      <c r="B482" s="133"/>
      <c r="C482" s="133"/>
    </row>
    <row r="483" spans="1:3">
      <c r="A483">
        <v>0</v>
      </c>
      <c r="B483" s="133"/>
      <c r="C483" s="133"/>
    </row>
    <row r="484" spans="1:3">
      <c r="A484">
        <v>0</v>
      </c>
      <c r="B484" s="133"/>
      <c r="C484" s="133"/>
    </row>
    <row r="485" spans="1:3">
      <c r="A485">
        <v>0</v>
      </c>
      <c r="B485" s="133"/>
      <c r="C485" s="133"/>
    </row>
    <row r="486" spans="1:3">
      <c r="A486">
        <v>0</v>
      </c>
      <c r="B486" s="133"/>
      <c r="C486" s="133"/>
    </row>
    <row r="487" spans="1:3">
      <c r="A487">
        <v>0</v>
      </c>
      <c r="B487" s="133"/>
      <c r="C487" s="133"/>
    </row>
    <row r="488" spans="1:3">
      <c r="A488">
        <v>0</v>
      </c>
      <c r="B488" s="133"/>
      <c r="C488" s="133"/>
    </row>
    <row r="489" spans="1:3">
      <c r="A489">
        <v>0</v>
      </c>
      <c r="B489" s="133"/>
      <c r="C489" s="133"/>
    </row>
    <row r="490" spans="1:3">
      <c r="A490">
        <v>0</v>
      </c>
      <c r="B490" s="133"/>
      <c r="C490" s="133"/>
    </row>
    <row r="491" spans="1:3">
      <c r="A491">
        <v>0</v>
      </c>
      <c r="B491" s="133"/>
      <c r="C491" s="133"/>
    </row>
    <row r="492" spans="1:3">
      <c r="A492">
        <v>0</v>
      </c>
      <c r="B492" s="133"/>
      <c r="C492" s="133"/>
    </row>
    <row r="493" spans="1:3">
      <c r="A493">
        <v>0</v>
      </c>
      <c r="B493" s="133"/>
      <c r="C493" s="133"/>
    </row>
    <row r="494" spans="1:3">
      <c r="A494">
        <v>0</v>
      </c>
      <c r="B494" s="133"/>
      <c r="C494" s="133"/>
    </row>
    <row r="495" spans="1:3">
      <c r="A495">
        <v>0</v>
      </c>
      <c r="B495" s="133"/>
      <c r="C495" s="133"/>
    </row>
    <row r="496" spans="1:3">
      <c r="A496">
        <v>0</v>
      </c>
      <c r="B496" s="133"/>
      <c r="C496" s="133"/>
    </row>
    <row r="497" spans="1:3">
      <c r="A497">
        <v>0</v>
      </c>
      <c r="B497" s="133"/>
      <c r="C497" s="133"/>
    </row>
    <row r="498" spans="1:3">
      <c r="A498">
        <v>0</v>
      </c>
      <c r="B498" s="133"/>
      <c r="C498" s="133"/>
    </row>
    <row r="499" spans="1:3">
      <c r="A499">
        <v>0</v>
      </c>
      <c r="B499" s="133"/>
      <c r="C499" s="133"/>
    </row>
    <row r="500" spans="1:3">
      <c r="A500">
        <v>0</v>
      </c>
      <c r="B500" s="133"/>
      <c r="C500" s="13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FFAF-5FE7-4863-AF2E-5555D65944E7}">
  <sheetPr codeName="Tabelle38"/>
  <dimension ref="A1"/>
  <sheetViews>
    <sheetView workbookViewId="0"/>
  </sheetViews>
  <sheetFormatPr baseColWidth="10" defaultColWidth="11.44140625" defaultRowHeight="13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16163617052544AC3B47ADA2FB3CC8" ma:contentTypeVersion="13" ma:contentTypeDescription="Create a new document." ma:contentTypeScope="" ma:versionID="61d89df301d9d948c1033c39de87715b">
  <xsd:schema xmlns:xsd="http://www.w3.org/2001/XMLSchema" xmlns:xs="http://www.w3.org/2001/XMLSchema" xmlns:p="http://schemas.microsoft.com/office/2006/metadata/properties" xmlns:ns2="85633b09-2ef1-4837-8742-d60933f7b9dd" xmlns:ns3="931b810c-e1bd-460f-9377-b918a6c9e4ac" targetNamespace="http://schemas.microsoft.com/office/2006/metadata/properties" ma:root="true" ma:fieldsID="5cb32e15a02e03421c35b18f01a8573d" ns2:_="" ns3:_="">
    <xsd:import namespace="85633b09-2ef1-4837-8742-d60933f7b9dd"/>
    <xsd:import namespace="931b810c-e1bd-460f-9377-b918a6c9e4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33b09-2ef1-4837-8742-d60933f7b9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6f276c77-5f33-4e85-96f7-d7788600d6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b810c-e1bd-460f-9377-b918a6c9e4a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239443f-2aae-4853-a83e-4f82ff86249c}" ma:internalName="TaxCatchAll" ma:showField="CatchAllData" ma:web="931b810c-e1bd-460f-9377-b918a6c9e4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31b810c-e1bd-460f-9377-b918a6c9e4ac" xsi:nil="true"/>
    <lcf76f155ced4ddcb4097134ff3c332f xmlns="85633b09-2ef1-4837-8742-d60933f7b9d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BC92FDE-9985-4342-B04E-347BB7BA3C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33b09-2ef1-4837-8742-d60933f7b9dd"/>
    <ds:schemaRef ds:uri="931b810c-e1bd-460f-9377-b918a6c9e4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ABE39F-5679-4A82-98C2-114AEEEB6C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F1E588-07C2-43D7-B02F-E92A9769B899}">
  <ds:schemaRefs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85633b09-2ef1-4837-8742-d60933f7b9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31b810c-e1bd-460f-9377-b918a6c9e4a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60</vt:i4>
      </vt:variant>
    </vt:vector>
  </HeadingPairs>
  <TitlesOfParts>
    <vt:vector size="66" baseType="lpstr">
      <vt:lpstr>DB-MB</vt:lpstr>
      <vt:lpstr>Maschinen-Machines</vt:lpstr>
      <vt:lpstr>Maschinenliste-Liste Machines</vt:lpstr>
      <vt:lpstr>Liste</vt:lpstr>
      <vt:lpstr>Zusatzinfos-Infos suppl.</vt:lpstr>
      <vt:lpstr>Text</vt:lpstr>
      <vt:lpstr>'Maschinenliste-Liste Machines'!colAkhEM</vt:lpstr>
      <vt:lpstr>'Maschinenliste-Liste Machines'!colAkhL</vt:lpstr>
      <vt:lpstr>'Maschinenliste-Liste Machines'!colArbeitsart</vt:lpstr>
      <vt:lpstr>'Maschinenliste-Liste Machines'!colEinheitF</vt:lpstr>
      <vt:lpstr>'Maschinenliste-Liste Machines'!colF1</vt:lpstr>
      <vt:lpstr>'Maschinenliste-Liste Machines'!colKostenL</vt:lpstr>
      <vt:lpstr>'Maschinenliste-Liste Machines'!colKostenM</vt:lpstr>
      <vt:lpstr>'Maschinenliste-Liste Machines'!colNameF</vt:lpstr>
      <vt:lpstr>'Maschinenliste-Liste Machines'!colNummer</vt:lpstr>
      <vt:lpstr>'Maschinenliste-Liste Machines'!colThEM</vt:lpstr>
      <vt:lpstr>'Maschinenliste-Liste Machines'!colThL</vt:lpstr>
      <vt:lpstr>'Maschinenliste-Liste Machines'!colTraktor</vt:lpstr>
      <vt:lpstr>'Maschinenliste-Liste Machines'!colVariableKostenGeräteE</vt:lpstr>
      <vt:lpstr>'Maschinenliste-Liste Machines'!colVariableKostenZugkraftEM</vt:lpstr>
      <vt:lpstr>'Maschinenliste-Liste Machines'!colVariableKostenZugkraftL</vt:lpstr>
      <vt:lpstr>Engrais</vt:lpstr>
      <vt:lpstr>EngraisCou</vt:lpstr>
      <vt:lpstr>entr</vt:lpstr>
      <vt:lpstr>FumLis</vt:lpstr>
      <vt:lpstr>FumLisCou</vt:lpstr>
      <vt:lpstr>'Maschinenliste-Liste Machines'!hAnsatzLohnarbeit</vt:lpstr>
      <vt:lpstr>hers</vt:lpstr>
      <vt:lpstr>HersCou</vt:lpstr>
      <vt:lpstr>litsem</vt:lpstr>
      <vt:lpstr>LitSemCou</vt:lpstr>
      <vt:lpstr>loc</vt:lpstr>
      <vt:lpstr>modeUse</vt:lpstr>
      <vt:lpstr>nEngrais</vt:lpstr>
      <vt:lpstr>nFumLis</vt:lpstr>
      <vt:lpstr>Nhers</vt:lpstr>
      <vt:lpstr>nLitSem</vt:lpstr>
      <vt:lpstr>nPulv</vt:lpstr>
      <vt:lpstr>nRec</vt:lpstr>
      <vt:lpstr>nSarcl</vt:lpstr>
      <vt:lpstr>nSemis</vt:lpstr>
      <vt:lpstr>ntrac</vt:lpstr>
      <vt:lpstr>nTransp</vt:lpstr>
      <vt:lpstr>nTravsol</vt:lpstr>
      <vt:lpstr>prop</vt:lpstr>
      <vt:lpstr>pulv</vt:lpstr>
      <vt:lpstr>PulvCou</vt:lpstr>
      <vt:lpstr>rec</vt:lpstr>
      <vt:lpstr>RecCou</vt:lpstr>
      <vt:lpstr>'Maschinenliste-Liste Machines'!rngTitelD</vt:lpstr>
      <vt:lpstr>'Maschinenliste-Liste Machines'!rowD1</vt:lpstr>
      <vt:lpstr>sarcl</vt:lpstr>
      <vt:lpstr>SarclCou</vt:lpstr>
      <vt:lpstr>Semis</vt:lpstr>
      <vt:lpstr>SemisCou</vt:lpstr>
      <vt:lpstr>tracCou</vt:lpstr>
      <vt:lpstr>tract</vt:lpstr>
      <vt:lpstr>'Maschinenliste-Liste Machines'!Traktor</vt:lpstr>
      <vt:lpstr>transp</vt:lpstr>
      <vt:lpstr>TranspCou</vt:lpstr>
      <vt:lpstr>travsol</vt:lpstr>
      <vt:lpstr>travSolCou</vt:lpstr>
      <vt:lpstr>'DB-MB'!Zone_d_impression</vt:lpstr>
      <vt:lpstr>'Maschinenliste-Liste Machines'!Zone_d_impression</vt:lpstr>
      <vt:lpstr>'Maschinen-Machines'!Zone_d_impression</vt:lpstr>
      <vt:lpstr>'Zusatzinfos-Infos suppl.'!Zone_d_impression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DB-Katalog 2019, Ackerbau</dc:title>
  <dc:subject/>
  <dc:creator>Orlando Scholz</dc:creator>
  <cp:keywords/>
  <dc:description/>
  <cp:lastModifiedBy>Hevia Rebecca</cp:lastModifiedBy>
  <cp:revision/>
  <cp:lastPrinted>2025-02-18T12:33:04Z</cp:lastPrinted>
  <dcterms:created xsi:type="dcterms:W3CDTF">2003-07-01T09:25:22Z</dcterms:created>
  <dcterms:modified xsi:type="dcterms:W3CDTF">2026-01-20T14:14:22Z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ContentTypeId">
    <vt:lpwstr>0x0101009616163617052544AC3B47ADA2FB3CC8</vt:lpwstr>
  </property>
  <property fmtid="{D5CDD505-2E9C-101B-9397-08002B2CF9AE}" pid="5" name="MediaServiceImageTags">
    <vt:lpwstr/>
  </property>
</Properties>
</file>